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C:\Users\Jakke\Downloads\"/>
    </mc:Choice>
  </mc:AlternateContent>
  <bookViews>
    <workbookView xWindow="0" yWindow="0" windowWidth="20490" windowHeight="7530"/>
  </bookViews>
  <sheets>
    <sheet name="Ruoka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I59" i="1" l="1"/>
  <c r="P14" i="1"/>
  <c r="P15" i="1"/>
  <c r="P13" i="1"/>
  <c r="I63" i="1"/>
  <c r="AZ47" i="1" l="1"/>
  <c r="AK51" i="1" l="1"/>
  <c r="AK39" i="1"/>
  <c r="AK40" i="1"/>
  <c r="AK41" i="1"/>
  <c r="AK42" i="1"/>
  <c r="AK43" i="1"/>
  <c r="AK44" i="1"/>
  <c r="AK45" i="1"/>
  <c r="AK47" i="1"/>
  <c r="AK48" i="1"/>
  <c r="AK49" i="1"/>
  <c r="AK52" i="1"/>
  <c r="AK53" i="1"/>
  <c r="AK54" i="1"/>
  <c r="AK55" i="1"/>
  <c r="AK56" i="1"/>
  <c r="AK38" i="1"/>
  <c r="AE54" i="1"/>
  <c r="AI54" i="1"/>
  <c r="AH54" i="1"/>
  <c r="AI39" i="1"/>
  <c r="AI40" i="1"/>
  <c r="AI41" i="1"/>
  <c r="AI42" i="1"/>
  <c r="AI43" i="1"/>
  <c r="AI44" i="1"/>
  <c r="AI45" i="1"/>
  <c r="AI47" i="1"/>
  <c r="AI48" i="1"/>
  <c r="AI49" i="1"/>
  <c r="AI51" i="1"/>
  <c r="AI52" i="1"/>
  <c r="AI53" i="1"/>
  <c r="AI55" i="1"/>
  <c r="AI56" i="1"/>
  <c r="AI38" i="1"/>
  <c r="AH39" i="1"/>
  <c r="AH40" i="1"/>
  <c r="AH41" i="1"/>
  <c r="AH42" i="1"/>
  <c r="AH43" i="1"/>
  <c r="AH44" i="1"/>
  <c r="AH45" i="1"/>
  <c r="AH47" i="1"/>
  <c r="AH48" i="1"/>
  <c r="AH49" i="1"/>
  <c r="AH51" i="1"/>
  <c r="AH52" i="1"/>
  <c r="AH53" i="1"/>
  <c r="AH55" i="1"/>
  <c r="AH56" i="1"/>
  <c r="AH38" i="1"/>
  <c r="AF39" i="1"/>
  <c r="AF40" i="1"/>
  <c r="AF41" i="1"/>
  <c r="AF42" i="1"/>
  <c r="AF43" i="1"/>
  <c r="AF44" i="1"/>
  <c r="AF45" i="1"/>
  <c r="AF47" i="1"/>
  <c r="AF48" i="1"/>
  <c r="AF49" i="1"/>
  <c r="AF51" i="1"/>
  <c r="AF52" i="1"/>
  <c r="AF53" i="1"/>
  <c r="AF54" i="1"/>
  <c r="AF55" i="1"/>
  <c r="AF56" i="1"/>
  <c r="AF38" i="1"/>
  <c r="I54" i="1" l="1"/>
  <c r="K63" i="1"/>
  <c r="AE39" i="1"/>
  <c r="I39" i="1" s="1"/>
  <c r="AE40" i="1"/>
  <c r="I40" i="1" s="1"/>
  <c r="AE41" i="1"/>
  <c r="I41" i="1" s="1"/>
  <c r="AE42" i="1"/>
  <c r="I42" i="1" s="1"/>
  <c r="AE43" i="1"/>
  <c r="I43" i="1" s="1"/>
  <c r="AE44" i="1"/>
  <c r="I44" i="1" s="1"/>
  <c r="AE45" i="1"/>
  <c r="I45" i="1" s="1"/>
  <c r="AE47" i="1"/>
  <c r="I47" i="1" s="1"/>
  <c r="AE48" i="1"/>
  <c r="I48" i="1" s="1"/>
  <c r="AE49" i="1"/>
  <c r="I49" i="1" s="1"/>
  <c r="AE51" i="1"/>
  <c r="I51" i="1" s="1"/>
  <c r="AE52" i="1"/>
  <c r="I52" i="1" s="1"/>
  <c r="AE53" i="1"/>
  <c r="I53" i="1" s="1"/>
  <c r="AE55" i="1"/>
  <c r="I55" i="1" s="1"/>
  <c r="AE56" i="1"/>
  <c r="I56" i="1" s="1"/>
  <c r="AE38" i="1"/>
  <c r="I38" i="1" s="1"/>
  <c r="B17" i="1"/>
  <c r="K59" i="1"/>
  <c r="J14" i="1"/>
  <c r="J13" i="1"/>
  <c r="J12" i="1"/>
  <c r="B18" i="1" l="1"/>
  <c r="I62" i="1"/>
  <c r="K62" i="1" s="1"/>
  <c r="D14" i="1"/>
  <c r="D13" i="1"/>
  <c r="I36" i="1" s="1"/>
  <c r="I61" i="1" s="1"/>
  <c r="K61" i="1" s="1"/>
  <c r="D12" i="1"/>
  <c r="I35" i="1" s="1"/>
  <c r="I60" i="1" s="1"/>
  <c r="K60" i="1" s="1"/>
  <c r="M49" i="1" l="1"/>
  <c r="N49" i="1" s="1"/>
  <c r="M48" i="1"/>
  <c r="N48" i="1" s="1"/>
  <c r="M38" i="1"/>
  <c r="N38" i="1" s="1"/>
  <c r="K51" i="1"/>
  <c r="L51" i="1" s="1"/>
  <c r="K48" i="1"/>
  <c r="L48" i="1" s="1"/>
  <c r="K49" i="1"/>
  <c r="L49" i="1" s="1"/>
  <c r="K47" i="1"/>
  <c r="L47" i="1" s="1"/>
  <c r="K45" i="1"/>
  <c r="L45" i="1" s="1"/>
  <c r="K43" i="1"/>
  <c r="L43" i="1" s="1"/>
  <c r="K38" i="1"/>
  <c r="L38" i="1" s="1"/>
  <c r="B7" i="1"/>
  <c r="K54" i="1" l="1"/>
  <c r="L54" i="1" s="1"/>
  <c r="M43" i="1"/>
  <c r="N43" i="1" s="1"/>
  <c r="M47" i="1"/>
  <c r="N47" i="1" s="1"/>
  <c r="M54" i="1"/>
  <c r="N54" i="1" s="1"/>
  <c r="M51" i="1"/>
  <c r="N51" i="1" s="1"/>
  <c r="K41" i="1"/>
  <c r="L41" i="1" s="1"/>
  <c r="M39" i="1"/>
  <c r="N39" i="1" s="1"/>
  <c r="K39" i="1"/>
  <c r="L39" i="1" s="1"/>
  <c r="M45" i="1"/>
  <c r="N45" i="1" s="1"/>
  <c r="K56" i="1"/>
  <c r="L56" i="1" s="1"/>
  <c r="M35" i="1"/>
  <c r="M37" i="1"/>
  <c r="M40" i="1"/>
  <c r="N40" i="1" s="1"/>
  <c r="M42" i="1"/>
  <c r="N42" i="1" s="1"/>
  <c r="M44" i="1"/>
  <c r="N44" i="1" s="1"/>
  <c r="M53" i="1"/>
  <c r="N53" i="1" s="1"/>
  <c r="M55" i="1"/>
  <c r="N55" i="1" s="1"/>
  <c r="M56" i="1"/>
  <c r="N56" i="1" s="1"/>
  <c r="M36" i="1"/>
  <c r="M41" i="1"/>
  <c r="N41" i="1" s="1"/>
  <c r="M52" i="1"/>
  <c r="N52" i="1" s="1"/>
  <c r="K37" i="1"/>
  <c r="K52" i="1"/>
  <c r="L52" i="1" s="1"/>
  <c r="K42" i="1"/>
  <c r="L42" i="1" s="1"/>
  <c r="K40" i="1"/>
  <c r="L40" i="1" s="1"/>
  <c r="K35" i="1"/>
  <c r="K36" i="1"/>
  <c r="K55" i="1"/>
  <c r="L55" i="1" s="1"/>
  <c r="K53" i="1"/>
  <c r="L53" i="1" s="1"/>
  <c r="K44" i="1"/>
  <c r="L44" i="1" s="1"/>
  <c r="N35" i="1" l="1"/>
  <c r="L37" i="1" l="1"/>
  <c r="N37" i="1"/>
  <c r="L35" i="1"/>
  <c r="L36" i="1" l="1"/>
  <c r="N36" i="1"/>
</calcChain>
</file>

<file path=xl/sharedStrings.xml><?xml version="1.0" encoding="utf-8"?>
<sst xmlns="http://schemas.openxmlformats.org/spreadsheetml/2006/main" count="441" uniqueCount="148">
  <si>
    <t>Koiran paino</t>
  </si>
  <si>
    <t>kg</t>
  </si>
  <si>
    <t>Kuivamuona</t>
  </si>
  <si>
    <t>%</t>
  </si>
  <si>
    <t>A-vitamiini</t>
  </si>
  <si>
    <t>KY/kg</t>
  </si>
  <si>
    <t>D-vitamiini</t>
  </si>
  <si>
    <t>mg/kg</t>
  </si>
  <si>
    <t>Lisät</t>
  </si>
  <si>
    <t>merilevä</t>
  </si>
  <si>
    <t>proteiini</t>
  </si>
  <si>
    <t>rasva</t>
  </si>
  <si>
    <t>sinkki</t>
  </si>
  <si>
    <t>annoskoko</t>
  </si>
  <si>
    <t>kalsium</t>
  </si>
  <si>
    <t>g</t>
  </si>
  <si>
    <t>mg</t>
  </si>
  <si>
    <t>g/päivä</t>
  </si>
  <si>
    <t>magnesium</t>
  </si>
  <si>
    <t>kalium</t>
  </si>
  <si>
    <t>rauta</t>
  </si>
  <si>
    <t>natrium</t>
  </si>
  <si>
    <t>E-vitamiini</t>
  </si>
  <si>
    <t>Lihatuotteet</t>
  </si>
  <si>
    <t>Elimet</t>
  </si>
  <si>
    <t>sydän</t>
  </si>
  <si>
    <t>munuaiset</t>
  </si>
  <si>
    <t>Kala</t>
  </si>
  <si>
    <t>Rasvat</t>
  </si>
  <si>
    <t>pellavarouhe</t>
  </si>
  <si>
    <t>ADE-liuos</t>
  </si>
  <si>
    <t>ml</t>
  </si>
  <si>
    <t>Koiran tarpeet</t>
  </si>
  <si>
    <t>g/kgME</t>
  </si>
  <si>
    <t>mg/kgME</t>
  </si>
  <si>
    <t>jodi</t>
  </si>
  <si>
    <t>µg/kgME</t>
  </si>
  <si>
    <t>seleeni</t>
  </si>
  <si>
    <t>µg/kg</t>
  </si>
  <si>
    <t>Ruuasta saa</t>
  </si>
  <si>
    <t>tiamiini (B1)</t>
  </si>
  <si>
    <t>riboflaviini (B2)</t>
  </si>
  <si>
    <t>niasiini (B3)</t>
  </si>
  <si>
    <t>pantoteenihappo (B5)</t>
  </si>
  <si>
    <t>pyridoksiini (B6)</t>
  </si>
  <si>
    <t>kobalamiini (B12)</t>
  </si>
  <si>
    <t>kgME</t>
  </si>
  <si>
    <t>µg</t>
  </si>
  <si>
    <t>ero %</t>
  </si>
  <si>
    <t>tarve 2</t>
  </si>
  <si>
    <t>tarve 1</t>
  </si>
  <si>
    <t>kalanmaksaöljy</t>
  </si>
  <si>
    <t>naudan maksa</t>
  </si>
  <si>
    <t>sian maksa</t>
  </si>
  <si>
    <t>broilerin maksa</t>
  </si>
  <si>
    <t>g jos kerran viikossa</t>
  </si>
  <si>
    <t>kananmuna</t>
  </si>
  <si>
    <t>kpl (60 g)</t>
  </si>
  <si>
    <t>puhdas rasva</t>
  </si>
  <si>
    <t>kalsiumkarbonaatti (95 %)</t>
  </si>
  <si>
    <t>HivenRekku</t>
  </si>
  <si>
    <t>Luut</t>
  </si>
  <si>
    <t>sian selkäranka</t>
  </si>
  <si>
    <t>broilerin selkäranka</t>
  </si>
  <si>
    <t>broilerin siivet</t>
  </si>
  <si>
    <t>broilerin reisikoipi</t>
  </si>
  <si>
    <t>kala</t>
  </si>
  <si>
    <t>banaani</t>
  </si>
  <si>
    <t>kirjolohi</t>
  </si>
  <si>
    <t>2. NRC</t>
  </si>
  <si>
    <t>broilerin kaula</t>
  </si>
  <si>
    <t>sian rintarusto</t>
  </si>
  <si>
    <t>kananmunan kuoret</t>
  </si>
  <si>
    <t>Ruoka-annoksen koko</t>
  </si>
  <si>
    <t>märkäpainona % koiran painosta</t>
  </si>
  <si>
    <t>1. Kempe, Lehtonen ym.</t>
  </si>
  <si>
    <t>kpl (190 g, keskikokoinen)</t>
  </si>
  <si>
    <t>g/päivä (dl = 45 g)</t>
  </si>
  <si>
    <t>Kuiva-muonassa</t>
  </si>
  <si>
    <t>kupari</t>
  </si>
  <si>
    <t>mg/100 g</t>
  </si>
  <si>
    <t>µg/100 g</t>
  </si>
  <si>
    <t>KY/100 g</t>
  </si>
  <si>
    <t>Annoskoko</t>
  </si>
  <si>
    <t>Jalosteet</t>
  </si>
  <si>
    <t>muikku</t>
  </si>
  <si>
    <t>Kirjolohi</t>
  </si>
  <si>
    <t>Muikku</t>
  </si>
  <si>
    <t>silakka</t>
  </si>
  <si>
    <t>ahven</t>
  </si>
  <si>
    <t>hauki</t>
  </si>
  <si>
    <t>Silakka</t>
  </si>
  <si>
    <t>Ahven</t>
  </si>
  <si>
    <t>Hauki</t>
  </si>
  <si>
    <t>Liha, punainen</t>
  </si>
  <si>
    <t>Liha, valkoinen</t>
  </si>
  <si>
    <t>punainen</t>
  </si>
  <si>
    <t>valkoinen</t>
  </si>
  <si>
    <t>Hiilihydraatit noin:</t>
  </si>
  <si>
    <t>Sian selkäranka</t>
  </si>
  <si>
    <t>Sian rintarusto</t>
  </si>
  <si>
    <t>Broilerin selkäranka</t>
  </si>
  <si>
    <t>Broilerin siivet</t>
  </si>
  <si>
    <t>Broilerin reisikoipi</t>
  </si>
  <si>
    <t>Broilerin kaulat</t>
  </si>
  <si>
    <t>g (yksi painaa n. 200 g)</t>
  </si>
  <si>
    <t>g (yksi painaa n. 180 g)</t>
  </si>
  <si>
    <t>g (yksi painaa n. 100 g)</t>
  </si>
  <si>
    <t>g (yksi painaa n. 280 g)</t>
  </si>
  <si>
    <t>g (yksi painaa n. 50 g)</t>
  </si>
  <si>
    <t>g (5 cm on n. 100 g)</t>
  </si>
  <si>
    <t>mg/ml</t>
  </si>
  <si>
    <t>KY/ml</t>
  </si>
  <si>
    <t>µg/ml</t>
  </si>
  <si>
    <t>proteiinia</t>
  </si>
  <si>
    <t>rasvaa</t>
  </si>
  <si>
    <t>hiilihydraattia</t>
  </si>
  <si>
    <t>kuitua</t>
  </si>
  <si>
    <t>% annoksesta</t>
  </si>
  <si>
    <t>Biotiini Forte</t>
  </si>
  <si>
    <t>g (tl n. 5 g)</t>
  </si>
  <si>
    <t>g (rkl n. 12 g)</t>
  </si>
  <si>
    <t>Hiven-Rekku</t>
  </si>
  <si>
    <t>mg/g</t>
  </si>
  <si>
    <t>µg/g</t>
  </si>
  <si>
    <t>KY/g</t>
  </si>
  <si>
    <t>Pellava-rouhe</t>
  </si>
  <si>
    <t>Merilevä</t>
  </si>
  <si>
    <t>kreikkalainen jogurtti</t>
  </si>
  <si>
    <t>Jogurtti</t>
  </si>
  <si>
    <t>Banaani</t>
  </si>
  <si>
    <t>?</t>
  </si>
  <si>
    <t>hiilihydraatti %</t>
  </si>
  <si>
    <t>kuitu %</t>
  </si>
  <si>
    <t>Mysteeriruoka</t>
  </si>
  <si>
    <t>Sydän</t>
  </si>
  <si>
    <t>Naudan maksa</t>
  </si>
  <si>
    <t>Broilerin maksa</t>
  </si>
  <si>
    <t>Sian maksa</t>
  </si>
  <si>
    <t>Munuaiset</t>
  </si>
  <si>
    <t>Solutyylit:</t>
  </si>
  <si>
    <t>Haluaa tietoa</t>
  </si>
  <si>
    <t>Laskee tietoa</t>
  </si>
  <si>
    <t>Lähtötiedot (muutettavissa)</t>
  </si>
  <si>
    <t>Kalanmak-saöljy</t>
  </si>
  <si>
    <t>jos muutat ravintoarvoja, niin huomioi missä on käytetty määriä per 100 g ja milloin per g, myös A- ja D-vitamiinissa vaihtelee käytetty yksikkö KY:n ja mikrogramman suhteen</t>
  </si>
  <si>
    <r>
      <rPr>
        <b/>
        <sz val="11"/>
        <color theme="1"/>
        <rFont val="Calibri"/>
        <family val="2"/>
        <scheme val="minor"/>
      </rPr>
      <t>Huomaa:</t>
    </r>
    <r>
      <rPr>
        <sz val="11"/>
        <color theme="1"/>
        <rFont val="Calibri"/>
        <family val="2"/>
        <scheme val="minor"/>
      </rPr>
      <t xml:space="preserve"> Raudan määrä raaka-aineissa on epäluotettava. Kuparin ja B5-vitamiini määriä ei useinkaan tiedetä.</t>
    </r>
  </si>
  <si>
    <t>g (tl = 1 kpl, n. 5 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</si>
</sst>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2" borderId="3" applyNumberFormat="0" applyAlignment="0" applyProtection="0"/>
    <xf numFmtId="0" fontId="4" fillId="3" borderId="3" applyNumberFormat="0" applyAlignment="0" applyProtection="0"/>
    <xf numFmtId="0" fontId="6" fillId="4" borderId="4" applyNumberFormat="0" applyAlignment="0" applyProtection="0"/>
  </cellStyleXfs>
  <cellXfs count="21">
    <xf numFmtId="0" fontId="0" fillId="0" borderId="0" xfId="0"/>
    <xf numFmtId="0" fontId="1" fillId="0" borderId="1" xfId="1"/>
    <xf numFmtId="0" fontId="2" fillId="0" borderId="2" xfId="2"/>
    <xf numFmtId="0" fontId="4" fillId="3" borderId="3" xfId="4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/>
    <xf numFmtId="0" fontId="3" fillId="2" borderId="3" xfId="3"/>
    <xf numFmtId="164" fontId="4" fillId="3" borderId="3" xfId="4" applyNumberFormat="1"/>
    <xf numFmtId="0" fontId="3" fillId="2" borderId="3" xfId="3" applyAlignment="1">
      <alignment horizontal="right"/>
    </xf>
    <xf numFmtId="1" fontId="4" fillId="3" borderId="3" xfId="4" applyNumberFormat="1"/>
    <xf numFmtId="1" fontId="5" fillId="3" borderId="3" xfId="4" applyNumberFormat="1" applyFont="1"/>
    <xf numFmtId="0" fontId="5" fillId="0" borderId="0" xfId="0" applyFont="1"/>
    <xf numFmtId="0" fontId="0" fillId="0" borderId="0" xfId="0" applyFill="1" applyBorder="1" applyAlignment="1">
      <alignment horizontal="right"/>
    </xf>
    <xf numFmtId="0" fontId="6" fillId="4" borderId="4" xfId="5"/>
    <xf numFmtId="0" fontId="0" fillId="0" borderId="0" xfId="0" applyAlignment="1">
      <alignment wrapText="1"/>
    </xf>
    <xf numFmtId="0" fontId="6" fillId="4" borderId="4" xfId="5" applyNumberFormat="1"/>
    <xf numFmtId="164" fontId="6" fillId="4" borderId="4" xfId="5" applyNumberFormat="1"/>
    <xf numFmtId="0" fontId="5" fillId="0" borderId="0" xfId="0" applyFont="1" applyAlignment="1">
      <alignment wrapText="1"/>
    </xf>
    <xf numFmtId="1" fontId="6" fillId="4" borderId="4" xfId="5" applyNumberFormat="1"/>
    <xf numFmtId="1" fontId="6" fillId="4" borderId="4" xfId="5" applyNumberFormat="1" applyAlignment="1"/>
  </cellXfs>
  <cellStyles count="6">
    <cellStyle name="Laskenta" xfId="4" builtinId="22"/>
    <cellStyle name="Normaali" xfId="0" builtinId="0"/>
    <cellStyle name="Otsikko 2" xfId="1" builtinId="17"/>
    <cellStyle name="Otsikko 3" xfId="2" builtinId="18"/>
    <cellStyle name="Syöttö" xfId="3" builtinId="20"/>
    <cellStyle name="Tarkistussolu" xfId="5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20610</xdr:colOff>
      <xdr:row>0</xdr:row>
      <xdr:rowOff>0</xdr:rowOff>
    </xdr:from>
    <xdr:to>
      <xdr:col>0</xdr:col>
      <xdr:colOff>1055714</xdr:colOff>
      <xdr:row>4</xdr:row>
      <xdr:rowOff>172898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10" y="0"/>
          <a:ext cx="1035104" cy="97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63"/>
  <sheetViews>
    <sheetView tabSelected="1" workbookViewId="0">
      <selection activeCell="B6" sqref="B6"/>
    </sheetView>
  </sheetViews>
  <sheetFormatPr defaultRowHeight="15" x14ac:dyDescent="0.25"/>
  <cols>
    <col min="1" max="1" width="28.28515625" customWidth="1"/>
    <col min="2" max="2" width="10.42578125" customWidth="1"/>
    <col min="3" max="3" width="19.42578125" customWidth="1"/>
    <col min="6" max="6" width="11.85546875" customWidth="1"/>
    <col min="7" max="7" width="10.7109375" customWidth="1"/>
    <col min="8" max="8" width="10.28515625" customWidth="1"/>
    <col min="9" max="9" width="10.85546875" bestFit="1" customWidth="1"/>
    <col min="13" max="13" width="14.85546875" customWidth="1"/>
    <col min="16" max="16" width="9.5703125" customWidth="1"/>
    <col min="19" max="19" width="10.5703125" customWidth="1"/>
    <col min="22" max="22" width="10" customWidth="1"/>
    <col min="27" max="27" width="21.5703125" customWidth="1"/>
    <col min="29" max="29" width="9.7109375" customWidth="1"/>
    <col min="31" max="32" width="10.140625" customWidth="1"/>
    <col min="34" max="34" width="10.140625" customWidth="1"/>
    <col min="38" max="38" width="21.28515625" customWidth="1"/>
    <col min="40" max="40" width="11.42578125" customWidth="1"/>
    <col min="43" max="43" width="10.28515625" customWidth="1"/>
    <col min="44" max="44" width="8.5703125" customWidth="1"/>
    <col min="46" max="46" width="9.5703125" customWidth="1"/>
  </cols>
  <sheetData>
    <row r="2" spans="1:17" ht="15.75" thickBot="1" x14ac:dyDescent="0.3">
      <c r="F2" s="2" t="s">
        <v>140</v>
      </c>
      <c r="G2" s="7" t="s">
        <v>141</v>
      </c>
      <c r="H2" s="7"/>
      <c r="I2" s="7"/>
    </row>
    <row r="3" spans="1:17" ht="15.75" thickBot="1" x14ac:dyDescent="0.3">
      <c r="G3" s="3" t="s">
        <v>142</v>
      </c>
      <c r="H3" s="3"/>
      <c r="I3" s="3"/>
    </row>
    <row r="4" spans="1:17" ht="16.5" thickTop="1" thickBot="1" x14ac:dyDescent="0.3">
      <c r="G4" s="14" t="s">
        <v>143</v>
      </c>
      <c r="H4" s="14"/>
      <c r="I4" s="14"/>
      <c r="J4" t="s">
        <v>145</v>
      </c>
    </row>
    <row r="5" spans="1:17" ht="15.75" thickTop="1" x14ac:dyDescent="0.25"/>
    <row r="6" spans="1:17" x14ac:dyDescent="0.25">
      <c r="A6" s="4" t="s">
        <v>0</v>
      </c>
      <c r="B6" s="7">
        <v>4</v>
      </c>
      <c r="C6" t="s">
        <v>1</v>
      </c>
      <c r="G6" t="s">
        <v>146</v>
      </c>
    </row>
    <row r="7" spans="1:17" x14ac:dyDescent="0.25">
      <c r="B7" s="8">
        <f>B6^0.75</f>
        <v>2.8284271247461898</v>
      </c>
      <c r="C7" t="s">
        <v>46</v>
      </c>
    </row>
    <row r="11" spans="1:17" ht="15.75" thickBot="1" x14ac:dyDescent="0.3">
      <c r="A11" s="2" t="s">
        <v>2</v>
      </c>
      <c r="F11" s="2" t="s">
        <v>23</v>
      </c>
      <c r="G11" t="s">
        <v>96</v>
      </c>
      <c r="H11" t="s">
        <v>97</v>
      </c>
      <c r="M11" s="2" t="s">
        <v>24</v>
      </c>
    </row>
    <row r="12" spans="1:17" x14ac:dyDescent="0.25">
      <c r="A12" s="4" t="s">
        <v>10</v>
      </c>
      <c r="B12" s="7">
        <v>22</v>
      </c>
      <c r="C12" t="s">
        <v>3</v>
      </c>
      <c r="D12" s="10">
        <f>B15/100*B12</f>
        <v>12.100000000000001</v>
      </c>
      <c r="E12" t="s">
        <v>15</v>
      </c>
      <c r="F12" t="s">
        <v>10</v>
      </c>
      <c r="G12" s="7">
        <v>14</v>
      </c>
      <c r="H12" s="7">
        <v>0</v>
      </c>
      <c r="I12" t="s">
        <v>3</v>
      </c>
      <c r="J12" s="3">
        <f>(H15/100*H12)+(G15/100*G12)</f>
        <v>21</v>
      </c>
      <c r="K12" t="s">
        <v>15</v>
      </c>
      <c r="M12" t="s">
        <v>25</v>
      </c>
      <c r="N12" s="7">
        <v>0</v>
      </c>
      <c r="O12" t="s">
        <v>15</v>
      </c>
    </row>
    <row r="13" spans="1:17" x14ac:dyDescent="0.25">
      <c r="A13" s="4" t="s">
        <v>11</v>
      </c>
      <c r="B13" s="7">
        <v>17</v>
      </c>
      <c r="C13" t="s">
        <v>3</v>
      </c>
      <c r="D13" s="10">
        <f>B15/100*B13</f>
        <v>9.3500000000000014</v>
      </c>
      <c r="E13" t="s">
        <v>15</v>
      </c>
      <c r="F13" t="s">
        <v>11</v>
      </c>
      <c r="G13" s="7">
        <v>16</v>
      </c>
      <c r="H13" s="7">
        <v>0</v>
      </c>
      <c r="I13" t="s">
        <v>3</v>
      </c>
      <c r="J13" s="3">
        <f>(H15/100*H13)+(G15/100*G13)</f>
        <v>24</v>
      </c>
      <c r="K13" t="s">
        <v>15</v>
      </c>
      <c r="M13" t="s">
        <v>52</v>
      </c>
      <c r="N13" s="7">
        <v>0</v>
      </c>
      <c r="O13" t="s">
        <v>15</v>
      </c>
      <c r="P13" s="3">
        <f>N13*7</f>
        <v>0</v>
      </c>
      <c r="Q13" t="s">
        <v>55</v>
      </c>
    </row>
    <row r="14" spans="1:17" x14ac:dyDescent="0.25">
      <c r="A14" s="4" t="s">
        <v>14</v>
      </c>
      <c r="B14" s="7">
        <v>1.2</v>
      </c>
      <c r="C14" t="s">
        <v>3</v>
      </c>
      <c r="D14" s="3">
        <f>(B15/100*B14)*1000</f>
        <v>660</v>
      </c>
      <c r="E14" t="s">
        <v>16</v>
      </c>
      <c r="F14" t="s">
        <v>14</v>
      </c>
      <c r="G14" s="7">
        <v>0</v>
      </c>
      <c r="H14" s="7">
        <v>0</v>
      </c>
      <c r="I14" t="s">
        <v>3</v>
      </c>
      <c r="J14" s="3">
        <f>((H15/100*H14)*1000)+((G15/100*G14)*1000)</f>
        <v>0</v>
      </c>
      <c r="K14" t="s">
        <v>16</v>
      </c>
      <c r="M14" t="s">
        <v>53</v>
      </c>
      <c r="N14" s="7">
        <v>0</v>
      </c>
      <c r="O14" t="s">
        <v>15</v>
      </c>
      <c r="P14" s="3">
        <f t="shared" ref="P14:P15" si="0">N14*7</f>
        <v>0</v>
      </c>
      <c r="Q14" t="s">
        <v>55</v>
      </c>
    </row>
    <row r="15" spans="1:17" x14ac:dyDescent="0.25">
      <c r="A15" s="4" t="s">
        <v>13</v>
      </c>
      <c r="B15" s="7">
        <v>55</v>
      </c>
      <c r="C15" t="s">
        <v>77</v>
      </c>
      <c r="F15" t="s">
        <v>13</v>
      </c>
      <c r="G15" s="7">
        <v>150</v>
      </c>
      <c r="H15" s="7">
        <v>0</v>
      </c>
      <c r="I15" t="s">
        <v>17</v>
      </c>
      <c r="M15" t="s">
        <v>54</v>
      </c>
      <c r="N15" s="7">
        <v>0</v>
      </c>
      <c r="O15" t="s">
        <v>15</v>
      </c>
      <c r="P15" s="3">
        <f t="shared" si="0"/>
        <v>0</v>
      </c>
      <c r="Q15" t="s">
        <v>55</v>
      </c>
    </row>
    <row r="16" spans="1:17" x14ac:dyDescent="0.25">
      <c r="A16" s="4"/>
      <c r="M16" t="s">
        <v>26</v>
      </c>
      <c r="N16" s="7">
        <v>0</v>
      </c>
      <c r="O16" t="s">
        <v>15</v>
      </c>
    </row>
    <row r="17" spans="1:19" x14ac:dyDescent="0.25">
      <c r="A17" s="4" t="s">
        <v>98</v>
      </c>
      <c r="B17" s="3">
        <f>100-B12-B13-10-5-10</f>
        <v>36</v>
      </c>
      <c r="C17" t="s">
        <v>3</v>
      </c>
    </row>
    <row r="18" spans="1:19" x14ac:dyDescent="0.25">
      <c r="B18" s="3">
        <f>B15/100*B17</f>
        <v>19.8</v>
      </c>
      <c r="C18" t="s">
        <v>15</v>
      </c>
    </row>
    <row r="20" spans="1:19" ht="18" thickBot="1" x14ac:dyDescent="0.35">
      <c r="A20" s="1" t="s">
        <v>8</v>
      </c>
      <c r="G20" s="2" t="s">
        <v>84</v>
      </c>
      <c r="M20" s="2" t="s">
        <v>61</v>
      </c>
      <c r="R20" s="2" t="s">
        <v>134</v>
      </c>
    </row>
    <row r="21" spans="1:19" ht="15.75" thickTop="1" x14ac:dyDescent="0.25">
      <c r="A21" s="4" t="s">
        <v>9</v>
      </c>
      <c r="B21" s="7">
        <v>0</v>
      </c>
      <c r="C21" t="s">
        <v>120</v>
      </c>
      <c r="G21" s="4" t="s">
        <v>83</v>
      </c>
      <c r="H21" s="7">
        <v>0</v>
      </c>
      <c r="I21" t="s">
        <v>17</v>
      </c>
      <c r="M21" s="4" t="s">
        <v>59</v>
      </c>
      <c r="N21" s="7">
        <v>0</v>
      </c>
      <c r="O21" t="s">
        <v>120</v>
      </c>
      <c r="R21" s="7">
        <v>0</v>
      </c>
      <c r="S21" t="s">
        <v>15</v>
      </c>
    </row>
    <row r="22" spans="1:19" x14ac:dyDescent="0.25">
      <c r="A22" s="4" t="s">
        <v>29</v>
      </c>
      <c r="B22" s="7">
        <v>0</v>
      </c>
      <c r="C22" t="s">
        <v>120</v>
      </c>
      <c r="H22" s="4"/>
      <c r="M22" s="4" t="s">
        <v>72</v>
      </c>
      <c r="N22" s="7">
        <v>0</v>
      </c>
      <c r="O22" t="s">
        <v>147</v>
      </c>
    </row>
    <row r="23" spans="1:19" ht="15.75" thickBot="1" x14ac:dyDescent="0.3">
      <c r="A23" s="4" t="s">
        <v>60</v>
      </c>
      <c r="B23" s="7">
        <v>0</v>
      </c>
      <c r="C23" t="s">
        <v>120</v>
      </c>
      <c r="G23" s="2" t="s">
        <v>27</v>
      </c>
      <c r="H23" s="4"/>
      <c r="M23" s="4" t="s">
        <v>62</v>
      </c>
      <c r="N23" s="7">
        <v>0</v>
      </c>
      <c r="O23" t="s">
        <v>110</v>
      </c>
    </row>
    <row r="24" spans="1:19" x14ac:dyDescent="0.25">
      <c r="A24" s="4" t="s">
        <v>119</v>
      </c>
      <c r="B24" s="7">
        <v>0</v>
      </c>
      <c r="C24" t="s">
        <v>120</v>
      </c>
      <c r="G24" s="4" t="s">
        <v>66</v>
      </c>
      <c r="H24" s="9">
        <v>0</v>
      </c>
      <c r="I24" t="s">
        <v>15</v>
      </c>
      <c r="M24" s="4" t="s">
        <v>71</v>
      </c>
      <c r="N24" s="7">
        <v>0</v>
      </c>
      <c r="O24" t="s">
        <v>105</v>
      </c>
    </row>
    <row r="25" spans="1:19" x14ac:dyDescent="0.25">
      <c r="A25" s="4" t="s">
        <v>30</v>
      </c>
      <c r="B25" s="7">
        <v>0</v>
      </c>
      <c r="C25" t="s">
        <v>31</v>
      </c>
      <c r="G25" s="4" t="s">
        <v>68</v>
      </c>
      <c r="H25" s="9">
        <v>0</v>
      </c>
      <c r="I25" t="s">
        <v>15</v>
      </c>
      <c r="M25" s="4" t="s">
        <v>63</v>
      </c>
      <c r="N25" s="7">
        <v>0</v>
      </c>
      <c r="O25" t="s">
        <v>106</v>
      </c>
    </row>
    <row r="26" spans="1:19" x14ac:dyDescent="0.25">
      <c r="A26" s="4" t="s">
        <v>51</v>
      </c>
      <c r="B26" s="7">
        <v>0</v>
      </c>
      <c r="C26" t="s">
        <v>31</v>
      </c>
      <c r="G26" s="13" t="s">
        <v>88</v>
      </c>
      <c r="H26" s="7">
        <v>0</v>
      </c>
      <c r="I26" t="s">
        <v>15</v>
      </c>
      <c r="M26" s="4" t="s">
        <v>64</v>
      </c>
      <c r="N26" s="7">
        <v>0</v>
      </c>
      <c r="O26" t="s">
        <v>107</v>
      </c>
    </row>
    <row r="27" spans="1:19" x14ac:dyDescent="0.25">
      <c r="A27" s="4" t="s">
        <v>56</v>
      </c>
      <c r="B27" s="7">
        <v>0</v>
      </c>
      <c r="C27" t="s">
        <v>57</v>
      </c>
      <c r="G27" s="13" t="s">
        <v>85</v>
      </c>
      <c r="H27" s="7">
        <v>0</v>
      </c>
      <c r="I27" t="s">
        <v>15</v>
      </c>
      <c r="M27" s="4" t="s">
        <v>65</v>
      </c>
      <c r="N27" s="7">
        <v>0</v>
      </c>
      <c r="O27" t="s">
        <v>108</v>
      </c>
    </row>
    <row r="28" spans="1:19" x14ac:dyDescent="0.25">
      <c r="A28" s="4" t="s">
        <v>128</v>
      </c>
      <c r="B28" s="7">
        <v>0</v>
      </c>
      <c r="C28" t="s">
        <v>121</v>
      </c>
      <c r="G28" s="13" t="s">
        <v>89</v>
      </c>
      <c r="H28" s="7">
        <v>0</v>
      </c>
      <c r="I28" t="s">
        <v>15</v>
      </c>
      <c r="M28" s="4" t="s">
        <v>70</v>
      </c>
      <c r="N28" s="7">
        <v>0</v>
      </c>
      <c r="O28" t="s">
        <v>109</v>
      </c>
    </row>
    <row r="29" spans="1:19" x14ac:dyDescent="0.25">
      <c r="A29" s="4" t="s">
        <v>67</v>
      </c>
      <c r="B29" s="7">
        <v>0</v>
      </c>
      <c r="C29" t="s">
        <v>76</v>
      </c>
      <c r="G29" s="13" t="s">
        <v>90</v>
      </c>
      <c r="H29" s="7">
        <v>0</v>
      </c>
      <c r="I29" t="s">
        <v>15</v>
      </c>
    </row>
    <row r="30" spans="1:19" ht="15.75" thickBot="1" x14ac:dyDescent="0.3">
      <c r="A30" s="2" t="s">
        <v>28</v>
      </c>
      <c r="B30" s="4"/>
    </row>
    <row r="31" spans="1:19" x14ac:dyDescent="0.25">
      <c r="A31" s="4" t="s">
        <v>58</v>
      </c>
      <c r="B31" s="7">
        <v>0</v>
      </c>
      <c r="C31" t="s">
        <v>121</v>
      </c>
    </row>
    <row r="33" spans="1:56" ht="18" thickBot="1" x14ac:dyDescent="0.35">
      <c r="A33" s="1" t="s">
        <v>32</v>
      </c>
      <c r="H33" s="1" t="s">
        <v>39</v>
      </c>
    </row>
    <row r="34" spans="1:56" ht="46.5" thickTop="1" thickBot="1" x14ac:dyDescent="0.3">
      <c r="B34" s="15" t="s">
        <v>75</v>
      </c>
      <c r="D34" t="s">
        <v>69</v>
      </c>
      <c r="K34" t="s">
        <v>50</v>
      </c>
      <c r="L34" t="s">
        <v>48</v>
      </c>
      <c r="M34" t="s">
        <v>49</v>
      </c>
      <c r="N34" t="s">
        <v>48</v>
      </c>
      <c r="P34" s="18" t="s">
        <v>78</v>
      </c>
      <c r="R34" s="12" t="s">
        <v>84</v>
      </c>
      <c r="T34" s="12" t="s">
        <v>27</v>
      </c>
      <c r="U34" s="12" t="s">
        <v>86</v>
      </c>
      <c r="V34" s="12" t="s">
        <v>91</v>
      </c>
      <c r="W34" s="12" t="s">
        <v>87</v>
      </c>
      <c r="X34" s="12" t="s">
        <v>92</v>
      </c>
      <c r="Y34" s="12" t="s">
        <v>93</v>
      </c>
      <c r="AB34" s="18" t="s">
        <v>94</v>
      </c>
      <c r="AC34" s="18" t="s">
        <v>95</v>
      </c>
      <c r="AE34" s="18" t="s">
        <v>99</v>
      </c>
      <c r="AF34" s="18" t="s">
        <v>100</v>
      </c>
      <c r="AH34" s="18" t="s">
        <v>101</v>
      </c>
      <c r="AI34" s="18" t="s">
        <v>102</v>
      </c>
      <c r="AJ34" s="18" t="s">
        <v>103</v>
      </c>
      <c r="AK34" s="18" t="s">
        <v>104</v>
      </c>
      <c r="AM34" s="18" t="s">
        <v>135</v>
      </c>
      <c r="AN34" s="18" t="s">
        <v>136</v>
      </c>
      <c r="AO34" s="18" t="s">
        <v>137</v>
      </c>
      <c r="AP34" s="18" t="s">
        <v>138</v>
      </c>
      <c r="AQ34" s="18" t="s">
        <v>139</v>
      </c>
      <c r="AS34" s="18" t="s">
        <v>30</v>
      </c>
      <c r="AT34" s="18" t="s">
        <v>144</v>
      </c>
      <c r="AV34" s="18"/>
      <c r="AW34" s="18" t="s">
        <v>119</v>
      </c>
      <c r="AX34" s="18" t="s">
        <v>122</v>
      </c>
      <c r="AY34" s="18" t="s">
        <v>126</v>
      </c>
      <c r="AZ34" s="18" t="s">
        <v>127</v>
      </c>
      <c r="BB34" s="18" t="s">
        <v>129</v>
      </c>
      <c r="BC34" s="18" t="s">
        <v>130</v>
      </c>
      <c r="BD34" s="18" t="s">
        <v>131</v>
      </c>
    </row>
    <row r="35" spans="1:56" ht="16.5" thickTop="1" thickBot="1" x14ac:dyDescent="0.3">
      <c r="A35" s="4" t="s">
        <v>33</v>
      </c>
      <c r="B35" s="14">
        <v>5</v>
      </c>
      <c r="C35" s="5" t="s">
        <v>10</v>
      </c>
      <c r="D35" s="16">
        <v>3.28</v>
      </c>
      <c r="E35" t="s">
        <v>33</v>
      </c>
      <c r="H35" s="4" t="s">
        <v>10</v>
      </c>
      <c r="I35" s="10">
        <f>D12+J12+(H21/100*R35)+(0.165*N12)+(0.184*N13)+(0.225*N14)+(0.189*N15)+(0.156*N16)+(B27*(60*0.11))+(H24/100*T35)+(H26/100*V35)+(H25/100*U35)+(N23/100*AE35)+(N24/100*AF35)+(N25/100*AH35)+(N26/100*AI35)+(N27/100*AJ35)+(N28/100*AK35)+(0.004*15*B28)+(H27/100*W35)+(H28/100*X35)+(H29/100*Y35)+(B25/100*AS35)+(B26/100*AT35)+(B24/100*AW35)+(B23/100*AX35)+(B21/100*AZ35)+(B22/100*AY35)+(B29/100*BC35)+(B28/100*BB35)+(R21/100*BD35)</f>
        <v>33.1</v>
      </c>
      <c r="J35" t="s">
        <v>15</v>
      </c>
      <c r="K35" s="10">
        <f>$B$7*B35</f>
        <v>14.142135623730949</v>
      </c>
      <c r="L35" s="11">
        <f>(I35/K35*100)-100</f>
        <v>134.05234457274724</v>
      </c>
      <c r="M35" s="10">
        <f>$B$7*D35</f>
        <v>9.2772409691675026</v>
      </c>
      <c r="N35" s="11">
        <f>(I35/M35*100)-100</f>
        <v>256.78711062918791</v>
      </c>
      <c r="R35" s="14">
        <v>15.6</v>
      </c>
      <c r="S35" t="s">
        <v>3</v>
      </c>
      <c r="T35" s="14">
        <v>16</v>
      </c>
      <c r="U35" s="14">
        <v>8</v>
      </c>
      <c r="V35" s="14">
        <v>13</v>
      </c>
      <c r="W35" s="14">
        <v>17</v>
      </c>
      <c r="X35" s="14">
        <v>15</v>
      </c>
      <c r="Y35" s="14">
        <v>16</v>
      </c>
      <c r="Z35" t="s">
        <v>3</v>
      </c>
      <c r="AA35" s="5" t="s">
        <v>10</v>
      </c>
      <c r="AD35" t="s">
        <v>3</v>
      </c>
      <c r="AE35" s="14">
        <v>9</v>
      </c>
      <c r="AF35" s="14">
        <v>22</v>
      </c>
      <c r="AH35" s="14">
        <v>12</v>
      </c>
      <c r="AI35" s="14">
        <v>8</v>
      </c>
      <c r="AJ35" s="14">
        <v>14</v>
      </c>
      <c r="AK35" s="14">
        <v>8</v>
      </c>
      <c r="AL35" s="5" t="s">
        <v>10</v>
      </c>
      <c r="AM35" s="14">
        <v>16.5</v>
      </c>
      <c r="AN35" s="14">
        <v>18.399999999999999</v>
      </c>
      <c r="AO35" s="14">
        <v>18.899999999999999</v>
      </c>
      <c r="AP35" s="14">
        <v>22.5</v>
      </c>
      <c r="AQ35" s="14">
        <v>15.6</v>
      </c>
      <c r="AR35" t="s">
        <v>3</v>
      </c>
      <c r="AS35" s="14">
        <v>0</v>
      </c>
      <c r="AT35" s="14">
        <v>0</v>
      </c>
      <c r="AU35" t="s">
        <v>3</v>
      </c>
      <c r="AV35" s="4" t="s">
        <v>3</v>
      </c>
      <c r="AW35" s="14">
        <v>0</v>
      </c>
      <c r="AX35" s="14">
        <v>0</v>
      </c>
      <c r="AY35" s="14">
        <v>24</v>
      </c>
      <c r="AZ35" s="14">
        <v>5</v>
      </c>
      <c r="BB35" s="14">
        <v>4</v>
      </c>
      <c r="BC35" s="14">
        <v>0.7</v>
      </c>
      <c r="BD35" s="14">
        <v>0</v>
      </c>
    </row>
    <row r="36" spans="1:56" ht="16.5" thickTop="1" thickBot="1" x14ac:dyDescent="0.3">
      <c r="A36" s="4" t="s">
        <v>33</v>
      </c>
      <c r="B36" s="14">
        <v>7</v>
      </c>
      <c r="C36" s="5" t="s">
        <v>11</v>
      </c>
      <c r="D36" s="16">
        <v>1.8</v>
      </c>
      <c r="E36" t="s">
        <v>33</v>
      </c>
      <c r="H36" s="4" t="s">
        <v>11</v>
      </c>
      <c r="I36" s="10">
        <f>B31+D13+J13+B26+(H21/100*R36)+(H24/100*T36)+(H25/100*U36)+(H26/100*V36)+(H27/100*W36)+(H28/100*X36)+(H29/100*Y36)+(N23/100*AE36)+(N24/100*AF36)+(N25/100*AH36)+(N26/100*AI36)+(N27/100*AJ36)+(N28/100*AK36)+(B25/100*AS36)+(B26/100*AT36)+(B24/100*AW36)+(B23/100*AX36)+(B27*(60*0.09))+(B21/100*AZ36)+(B22/100*AY36)+(B28/100*BB36)+(B29/100*BC36)+(R21/100*BD36)+(N12/100*AM36)+(N13/100*AN36)+(N14/100*AP36)+(N15/100*AO36)+(N16/100*AQ36)</f>
        <v>33.35</v>
      </c>
      <c r="J36" t="s">
        <v>15</v>
      </c>
      <c r="K36" s="10">
        <f>$B$7*B36</f>
        <v>19.798989873223327</v>
      </c>
      <c r="L36" s="11">
        <f t="shared" ref="L36:L56" si="1">(I36/K36*100)-100</f>
        <v>68.442936804081171</v>
      </c>
      <c r="M36" s="10">
        <f>$B$7*D36</f>
        <v>5.0911688245431419</v>
      </c>
      <c r="N36" s="11">
        <f t="shared" ref="N36:N56" si="2">(I36/M36*100)-100</f>
        <v>555.05586534920451</v>
      </c>
      <c r="R36" s="14">
        <v>16.600000000000001</v>
      </c>
      <c r="S36" t="s">
        <v>3</v>
      </c>
      <c r="T36" s="14">
        <v>7</v>
      </c>
      <c r="U36" s="14">
        <v>6</v>
      </c>
      <c r="V36" s="14">
        <v>5</v>
      </c>
      <c r="W36" s="14">
        <v>2</v>
      </c>
      <c r="X36" s="14">
        <v>1.7</v>
      </c>
      <c r="Y36" s="14">
        <v>0.8</v>
      </c>
      <c r="Z36" t="s">
        <v>3</v>
      </c>
      <c r="AA36" s="5" t="s">
        <v>11</v>
      </c>
      <c r="AD36" t="s">
        <v>3</v>
      </c>
      <c r="AE36" s="14">
        <v>14.1</v>
      </c>
      <c r="AF36" s="14">
        <v>15.3</v>
      </c>
      <c r="AH36" s="14">
        <v>30.6</v>
      </c>
      <c r="AI36" s="14">
        <v>13.2</v>
      </c>
      <c r="AJ36" s="14">
        <v>14</v>
      </c>
      <c r="AK36" s="14">
        <v>7.3</v>
      </c>
      <c r="AL36" s="5" t="s">
        <v>11</v>
      </c>
      <c r="AM36" s="14">
        <v>3.6</v>
      </c>
      <c r="AN36" s="14">
        <v>3.7</v>
      </c>
      <c r="AO36" s="14">
        <v>4</v>
      </c>
      <c r="AP36" s="14">
        <v>3.7</v>
      </c>
      <c r="AQ36" s="14">
        <v>6.7</v>
      </c>
      <c r="AR36" t="s">
        <v>3</v>
      </c>
      <c r="AS36" s="14">
        <v>0</v>
      </c>
      <c r="AT36" s="14">
        <v>0</v>
      </c>
      <c r="AU36" t="s">
        <v>3</v>
      </c>
      <c r="AV36" s="4" t="s">
        <v>3</v>
      </c>
      <c r="AW36" s="14">
        <v>0</v>
      </c>
      <c r="AX36" s="14">
        <v>0</v>
      </c>
      <c r="AY36" s="14">
        <v>28</v>
      </c>
      <c r="AZ36" s="14">
        <v>1</v>
      </c>
      <c r="BB36" s="14">
        <v>10</v>
      </c>
      <c r="BC36" s="14">
        <v>0.3</v>
      </c>
      <c r="BD36" s="14">
        <v>0</v>
      </c>
    </row>
    <row r="37" spans="1:56" ht="16.5" thickTop="1" thickBot="1" x14ac:dyDescent="0.3">
      <c r="A37" s="4" t="s">
        <v>34</v>
      </c>
      <c r="B37" s="14">
        <v>130</v>
      </c>
      <c r="C37" s="5" t="s">
        <v>14</v>
      </c>
      <c r="D37" s="16">
        <v>130</v>
      </c>
      <c r="E37" t="s">
        <v>34</v>
      </c>
      <c r="H37" s="4" t="s">
        <v>14</v>
      </c>
      <c r="I37" s="10">
        <f>D14+J14+(((N21/100*95)/100*40)*1000)+(N22*400)+(H21*(R37/100))+(H24*(T37/100))+(H25*(U37/100))+(H26*(V37/100))+(H27*(W37/100))+(H28*(X37/100))+(H29*(Y37/100))+(N23*(AE37/100))+(N24*(AF37/100))+(N25*(AH37/100))+(N26*(AI37/100))+(N27*(AJ37/100))+(N28*(AK37/100))+(B25*AS37)+(B26*AT37)+(B24*AW37)+(B23*AX37)+(B27*(50.2*0.6))+(B21*AZ37)+(B22*AY37)+(B28*BB37)+(B29*BC37)+(R21*BD37)+(N12*AM37)+(N13*AN37)+(N14*AP37)+(N15*AO37)+(N16*AQ37)</f>
        <v>660</v>
      </c>
      <c r="J37" t="s">
        <v>16</v>
      </c>
      <c r="K37" s="10">
        <f>$B$7*B37</f>
        <v>367.69552621700467</v>
      </c>
      <c r="L37" s="11">
        <f t="shared" si="1"/>
        <v>79.49633676273902</v>
      </c>
      <c r="M37" s="10">
        <f>$B$7*D37</f>
        <v>367.69552621700467</v>
      </c>
      <c r="N37" s="11">
        <f t="shared" si="2"/>
        <v>79.49633676273902</v>
      </c>
      <c r="R37" s="14">
        <v>389</v>
      </c>
      <c r="S37" t="s">
        <v>80</v>
      </c>
      <c r="T37" s="14">
        <v>500</v>
      </c>
      <c r="U37" s="14">
        <v>500</v>
      </c>
      <c r="V37" s="14">
        <v>500</v>
      </c>
      <c r="W37" s="14">
        <v>500</v>
      </c>
      <c r="X37" s="14">
        <v>500</v>
      </c>
      <c r="Y37" s="14">
        <v>500</v>
      </c>
      <c r="Z37" t="s">
        <v>80</v>
      </c>
      <c r="AA37" s="5" t="s">
        <v>14</v>
      </c>
      <c r="AD37" t="s">
        <v>80</v>
      </c>
      <c r="AE37" s="14">
        <v>5100</v>
      </c>
      <c r="AF37" s="14">
        <v>700</v>
      </c>
      <c r="AH37" s="14">
        <v>780</v>
      </c>
      <c r="AI37" s="14">
        <v>1160</v>
      </c>
      <c r="AJ37" s="14">
        <v>2300</v>
      </c>
      <c r="AK37" s="14">
        <v>700</v>
      </c>
      <c r="AL37" s="5" t="s">
        <v>14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t="s">
        <v>123</v>
      </c>
      <c r="AS37" s="14">
        <v>0</v>
      </c>
      <c r="AT37" s="14">
        <v>0</v>
      </c>
      <c r="AU37" t="s">
        <v>111</v>
      </c>
      <c r="AV37" s="4" t="s">
        <v>123</v>
      </c>
      <c r="AW37" s="14">
        <v>0</v>
      </c>
      <c r="AX37" s="14">
        <v>11.6</v>
      </c>
      <c r="AY37" s="14">
        <v>2.5</v>
      </c>
      <c r="AZ37" s="14">
        <v>2</v>
      </c>
      <c r="BB37" s="14">
        <v>1.3</v>
      </c>
      <c r="BC37" s="14">
        <v>0</v>
      </c>
      <c r="BD37" s="14">
        <v>0</v>
      </c>
    </row>
    <row r="38" spans="1:56" ht="16.5" thickTop="1" thickBot="1" x14ac:dyDescent="0.3">
      <c r="A38" s="4" t="s">
        <v>7</v>
      </c>
      <c r="B38" s="14">
        <v>4</v>
      </c>
      <c r="C38" s="5" t="s">
        <v>20</v>
      </c>
      <c r="D38" s="16">
        <v>1</v>
      </c>
      <c r="E38" t="s">
        <v>34</v>
      </c>
      <c r="H38" s="4" t="s">
        <v>20</v>
      </c>
      <c r="I38" s="10">
        <f>(B15*(P38/1000))+(H21*(R38/100))+(H24*(T38/100))+(H25*(U38/100))+(H26*(V38/100))+(H27*(W38/100))+(H28*(X38/100))+(H29*(Y38/100))+(G15*(AB38/100))+(H15*(AC38/100))+(N23*(AE38/100))+(N24*(AF38/100))+(N25*(AH38/100))+(N26*(AI38/100))+(N27*(AJ38/100))+(N28*(AK38/100))+(B25*AS38)+(B26*AT38)+(B24*AW38)+(B23*AX38)+(B27*(2.2*0.6))+(B21*AZ38)+(B22*AY38)+(B28*BB38)+(B29*BC38)+(R21*BD38)+(N12*AM38)+(N13*AN38)+(N14*AP38)+(N15*AO38)+(N16*AQ38)</f>
        <v>12.664999999999999</v>
      </c>
      <c r="J38" t="s">
        <v>16</v>
      </c>
      <c r="K38" s="3">
        <f>$B$6*B38</f>
        <v>16</v>
      </c>
      <c r="L38" s="11">
        <f t="shared" si="1"/>
        <v>-20.84375</v>
      </c>
      <c r="M38" s="10">
        <f>$B$6*D38</f>
        <v>4</v>
      </c>
      <c r="N38" s="11">
        <f t="shared" si="2"/>
        <v>216.625</v>
      </c>
      <c r="P38" s="14">
        <v>143</v>
      </c>
      <c r="Q38" t="s">
        <v>7</v>
      </c>
      <c r="R38" s="14">
        <v>2.9</v>
      </c>
      <c r="S38" t="s">
        <v>80</v>
      </c>
      <c r="T38" s="14">
        <v>2.6</v>
      </c>
      <c r="U38" s="14">
        <v>1.3</v>
      </c>
      <c r="V38" s="14">
        <v>2.4</v>
      </c>
      <c r="W38" s="14">
        <v>1.9</v>
      </c>
      <c r="X38" s="14">
        <v>0.7</v>
      </c>
      <c r="Y38" s="14">
        <v>0.5</v>
      </c>
      <c r="Z38" t="s">
        <v>80</v>
      </c>
      <c r="AA38" s="5" t="s">
        <v>20</v>
      </c>
      <c r="AB38" s="14">
        <v>3.2</v>
      </c>
      <c r="AC38" s="14">
        <v>2.1</v>
      </c>
      <c r="AD38" t="s">
        <v>80</v>
      </c>
      <c r="AE38" s="17">
        <f>AB38/100*60</f>
        <v>1.92</v>
      </c>
      <c r="AF38" s="17">
        <f>AB38/100*80</f>
        <v>2.56</v>
      </c>
      <c r="AH38" s="17">
        <f>AC38/100*80</f>
        <v>1.6800000000000002</v>
      </c>
      <c r="AI38" s="17">
        <f>AC38/100*50</f>
        <v>1.05</v>
      </c>
      <c r="AJ38" s="14">
        <v>0.8</v>
      </c>
      <c r="AK38" s="17">
        <f>AC38/100*50</f>
        <v>1.05</v>
      </c>
      <c r="AL38" s="5" t="s">
        <v>20</v>
      </c>
      <c r="AM38" s="14">
        <v>0.04</v>
      </c>
      <c r="AN38" s="14">
        <v>0.8</v>
      </c>
      <c r="AO38" s="14">
        <v>0.08</v>
      </c>
      <c r="AP38" s="14">
        <v>0.31</v>
      </c>
      <c r="AQ38" s="14">
        <v>0.08</v>
      </c>
      <c r="AR38" t="s">
        <v>123</v>
      </c>
      <c r="AS38" s="14">
        <v>0</v>
      </c>
      <c r="AT38" s="14">
        <v>0</v>
      </c>
      <c r="AU38" t="s">
        <v>111</v>
      </c>
      <c r="AV38" s="4" t="s">
        <v>123</v>
      </c>
      <c r="AW38" s="14">
        <v>0</v>
      </c>
      <c r="AX38" s="14">
        <v>2</v>
      </c>
      <c r="AY38" s="14">
        <v>0</v>
      </c>
      <c r="AZ38" s="14">
        <v>0.5</v>
      </c>
      <c r="BB38" s="14">
        <v>0</v>
      </c>
      <c r="BC38" s="14">
        <v>0</v>
      </c>
      <c r="BD38" s="14">
        <v>0</v>
      </c>
    </row>
    <row r="39" spans="1:56" ht="16.5" thickTop="1" thickBot="1" x14ac:dyDescent="0.3">
      <c r="A39" s="4" t="s">
        <v>36</v>
      </c>
      <c r="B39" s="14">
        <v>200</v>
      </c>
      <c r="C39" s="5" t="s">
        <v>79</v>
      </c>
      <c r="D39" s="16">
        <v>200</v>
      </c>
      <c r="E39" t="s">
        <v>36</v>
      </c>
      <c r="H39" s="4" t="s">
        <v>79</v>
      </c>
      <c r="I39" s="10">
        <f>(B15*(P39/1000)*1000)+(H21*(R39/100))+(H24*(T39/100))+(H25*(U39/100))+(H26*(V39/100))+(H27*(W39/100))+(H28*(X39/100))+(H29*(Y39/100))+(G15*(AB39/100))+(H15*(AC39/100))+(N23*(AE39/100))+(N24*(AF39/100))+(N25*(AH39/100))+(N26*(AI39/100))+(N27*(AJ39/100))+(N28*(AK39/100))+(B25*AS39)+(B26*AT39)+(B24*AW39)+(B23*AX39)+(B21*5*AZ39)+(B22*AY39)+(B28*BB39)+(B29*BC39)+(R21*BD39)+(N12*AM39)+(N13*AN39)+(N14*AP39)+(N15*AO39)+(N16*AQ39)</f>
        <v>825</v>
      </c>
      <c r="J39" t="s">
        <v>47</v>
      </c>
      <c r="K39" s="10">
        <f>$B$7*B39</f>
        <v>565.68542494923793</v>
      </c>
      <c r="L39" s="11">
        <f t="shared" si="1"/>
        <v>45.840773619725439</v>
      </c>
      <c r="M39" s="10">
        <f t="shared" ref="M39:M45" si="3">$B$7*D39</f>
        <v>565.68542494923793</v>
      </c>
      <c r="N39" s="11">
        <f t="shared" si="2"/>
        <v>45.840773619725439</v>
      </c>
      <c r="P39" s="14">
        <v>15</v>
      </c>
      <c r="Q39" t="s">
        <v>7</v>
      </c>
      <c r="R39" s="14">
        <v>510</v>
      </c>
      <c r="S39" t="s">
        <v>81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t="s">
        <v>81</v>
      </c>
      <c r="AA39" s="5" t="s">
        <v>79</v>
      </c>
      <c r="AB39" s="14">
        <v>0</v>
      </c>
      <c r="AC39" s="14">
        <v>0</v>
      </c>
      <c r="AD39" t="s">
        <v>81</v>
      </c>
      <c r="AE39" s="14">
        <f t="shared" ref="AE39:AE56" si="4">AB39/100*60</f>
        <v>0</v>
      </c>
      <c r="AF39" s="19">
        <f t="shared" ref="AF39:AF56" si="5">AB39/100*80</f>
        <v>0</v>
      </c>
      <c r="AH39" s="19">
        <f t="shared" ref="AH39:AH56" si="6">AC39/100*80</f>
        <v>0</v>
      </c>
      <c r="AI39" s="19">
        <f t="shared" ref="AI39:AI56" si="7">AC39/100*50</f>
        <v>0</v>
      </c>
      <c r="AJ39" s="14">
        <v>0</v>
      </c>
      <c r="AK39" s="17">
        <f t="shared" ref="AK39:AK56" si="8">AC39/100*50</f>
        <v>0</v>
      </c>
      <c r="AL39" s="5" t="s">
        <v>79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t="s">
        <v>124</v>
      </c>
      <c r="AS39" s="14">
        <v>0</v>
      </c>
      <c r="AT39" s="14">
        <v>0</v>
      </c>
      <c r="AU39" t="s">
        <v>113</v>
      </c>
      <c r="AV39" s="4" t="s">
        <v>124</v>
      </c>
      <c r="AW39" s="14">
        <v>0</v>
      </c>
      <c r="AX39" s="14">
        <v>0</v>
      </c>
      <c r="AY39" s="14">
        <v>0</v>
      </c>
      <c r="AZ39" s="14">
        <v>5</v>
      </c>
      <c r="BB39" s="14">
        <v>0</v>
      </c>
      <c r="BC39" s="14">
        <v>0</v>
      </c>
      <c r="BD39" s="14">
        <v>0</v>
      </c>
    </row>
    <row r="40" spans="1:56" ht="16.5" thickTop="1" thickBot="1" x14ac:dyDescent="0.3">
      <c r="A40" s="4" t="s">
        <v>36</v>
      </c>
      <c r="B40" s="14">
        <v>29.6</v>
      </c>
      <c r="C40" s="5" t="s">
        <v>35</v>
      </c>
      <c r="D40" s="16">
        <v>29.6</v>
      </c>
      <c r="E40" t="s">
        <v>36</v>
      </c>
      <c r="H40" s="4" t="s">
        <v>35</v>
      </c>
      <c r="I40" s="10">
        <f>(B15*(P40/1000)*1000)+(H21*(R40/100))+(H24*(T40/100))+(H25*(U40/100))+(H26*(V40/100))+(H27*(W40/100))+(H28*(X40/100))+(H29*(Y40/100))+(G15*(AB40/100))+(H15*(AC40/100))+(N23*(AE40/100))+(N24*(AF40/100))+(N25*(AH40/100))+(N26*(AI40/100))+(N27*(AJ40/100))+(N28*(AK40/100))+(B25*AS40)+(B26*AT40)+(B24*AW40)+(B23*AX40)+(B27*(38.7*0.6))+(B21*AZ40)+(B22*AY40)+(B28*BB40)+(B29*BC40)+(R21*BD40)+(N12*AM40)+(N13*AN40)+(N14*AP40)+(N15*AO40)+(N16*AQ40)</f>
        <v>296</v>
      </c>
      <c r="J40" t="s">
        <v>47</v>
      </c>
      <c r="K40" s="10">
        <f>$B$7*B40</f>
        <v>83.721442892487218</v>
      </c>
      <c r="L40" s="11">
        <f t="shared" si="1"/>
        <v>253.55339059327383</v>
      </c>
      <c r="M40" s="10">
        <f t="shared" si="3"/>
        <v>83.721442892487218</v>
      </c>
      <c r="N40" s="11">
        <f t="shared" si="2"/>
        <v>253.55339059327383</v>
      </c>
      <c r="P40" s="14">
        <v>5.3</v>
      </c>
      <c r="Q40" t="s">
        <v>7</v>
      </c>
      <c r="R40" s="14">
        <v>88</v>
      </c>
      <c r="S40" t="s">
        <v>81</v>
      </c>
      <c r="T40" s="14">
        <v>40.4</v>
      </c>
      <c r="U40" s="14">
        <v>16.3</v>
      </c>
      <c r="V40" s="14">
        <v>30</v>
      </c>
      <c r="W40" s="14">
        <v>25</v>
      </c>
      <c r="X40" s="14">
        <v>19</v>
      </c>
      <c r="Y40" s="14">
        <v>20</v>
      </c>
      <c r="Z40" t="s">
        <v>81</v>
      </c>
      <c r="AA40" s="5" t="s">
        <v>35</v>
      </c>
      <c r="AB40" s="14">
        <v>3</v>
      </c>
      <c r="AC40" s="14">
        <v>15</v>
      </c>
      <c r="AD40" t="s">
        <v>81</v>
      </c>
      <c r="AE40" s="14">
        <f t="shared" si="4"/>
        <v>1.7999999999999998</v>
      </c>
      <c r="AF40" s="17">
        <f t="shared" si="5"/>
        <v>2.4</v>
      </c>
      <c r="AH40" s="17">
        <f t="shared" si="6"/>
        <v>12</v>
      </c>
      <c r="AI40" s="17">
        <f t="shared" si="7"/>
        <v>7.5</v>
      </c>
      <c r="AJ40" s="14">
        <v>8</v>
      </c>
      <c r="AK40" s="17">
        <f t="shared" si="8"/>
        <v>7.5</v>
      </c>
      <c r="AL40" s="5" t="s">
        <v>35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t="s">
        <v>124</v>
      </c>
      <c r="AS40" s="14">
        <v>0</v>
      </c>
      <c r="AT40" s="14">
        <v>0</v>
      </c>
      <c r="AU40" t="s">
        <v>113</v>
      </c>
      <c r="AV40" s="4" t="s">
        <v>124</v>
      </c>
      <c r="AW40" s="14">
        <v>0</v>
      </c>
      <c r="AX40" s="14">
        <v>0</v>
      </c>
      <c r="AY40" s="14">
        <v>0</v>
      </c>
      <c r="AZ40" s="14">
        <v>900</v>
      </c>
      <c r="BB40" s="14">
        <v>0.1</v>
      </c>
      <c r="BC40" s="14">
        <v>0</v>
      </c>
      <c r="BD40" s="14">
        <v>0</v>
      </c>
    </row>
    <row r="41" spans="1:56" ht="16.5" thickTop="1" thickBot="1" x14ac:dyDescent="0.3">
      <c r="A41" s="4" t="s">
        <v>34</v>
      </c>
      <c r="B41" s="14">
        <v>140</v>
      </c>
      <c r="C41" s="5" t="s">
        <v>19</v>
      </c>
      <c r="D41" s="16">
        <v>140</v>
      </c>
      <c r="E41" t="s">
        <v>34</v>
      </c>
      <c r="H41" s="4" t="s">
        <v>19</v>
      </c>
      <c r="I41" s="10">
        <f>(N22*1)+((B15/100*P41)*1000)+(H21*(R41/100))+(H24*(T41/100))+(H25*(U41/100))+(H26*(V41/100))+(H27*(W41/100))+(H28*(X41/100))+(H29*(Y41/100))+(G15*(AB41/100))+(H15*(AC41/100))+(N23*(AE41/100))+(N24*(AF41/100))+(N25*(AH41/100))+(N26*(AI41/100))+(N27*(AJ41/100))+(N28*(AK41/100))+(B25*AS41)+(B26*AT41)+(B24*AW41)+(B23*AX41)+(B27*(114.4*0.6))+(B21*AZ41)+(B22*AY41)+(B28*BB41)+(B29*BC41)+(R21*BD41)+(N12*AM41)+(N13*AN41)+(N14*AP41)+(N15*AO41)+(N16*AQ41)</f>
        <v>675</v>
      </c>
      <c r="J41" t="s">
        <v>16</v>
      </c>
      <c r="K41" s="10">
        <f>$B$7*B41</f>
        <v>395.97979746446657</v>
      </c>
      <c r="L41" s="11">
        <f t="shared" si="1"/>
        <v>70.463241893185568</v>
      </c>
      <c r="M41" s="10">
        <f t="shared" si="3"/>
        <v>395.97979746446657</v>
      </c>
      <c r="N41" s="11">
        <f t="shared" si="2"/>
        <v>70.463241893185568</v>
      </c>
      <c r="P41" s="14">
        <v>0.6</v>
      </c>
      <c r="Q41" t="s">
        <v>3</v>
      </c>
      <c r="R41" s="14">
        <v>240</v>
      </c>
      <c r="S41" t="s">
        <v>80</v>
      </c>
      <c r="T41" s="14">
        <v>850</v>
      </c>
      <c r="U41" s="14">
        <v>300</v>
      </c>
      <c r="V41" s="14">
        <v>400</v>
      </c>
      <c r="W41" s="14">
        <v>400</v>
      </c>
      <c r="X41" s="14">
        <v>400</v>
      </c>
      <c r="Y41" s="14">
        <v>390</v>
      </c>
      <c r="Z41" t="s">
        <v>80</v>
      </c>
      <c r="AA41" s="5" t="s">
        <v>19</v>
      </c>
      <c r="AB41" s="14">
        <v>230</v>
      </c>
      <c r="AC41" s="14">
        <v>190</v>
      </c>
      <c r="AD41" t="s">
        <v>80</v>
      </c>
      <c r="AE41" s="14">
        <f t="shared" si="4"/>
        <v>138</v>
      </c>
      <c r="AF41" s="19">
        <f t="shared" si="5"/>
        <v>184</v>
      </c>
      <c r="AH41" s="19">
        <f t="shared" si="6"/>
        <v>152</v>
      </c>
      <c r="AI41" s="19">
        <f t="shared" si="7"/>
        <v>95</v>
      </c>
      <c r="AJ41" s="14">
        <v>330</v>
      </c>
      <c r="AK41" s="19">
        <f t="shared" si="8"/>
        <v>95</v>
      </c>
      <c r="AL41" s="5" t="s">
        <v>19</v>
      </c>
      <c r="AM41" s="14">
        <v>2.2000000000000002</v>
      </c>
      <c r="AN41" s="14">
        <v>3.6</v>
      </c>
      <c r="AO41" s="14">
        <v>3.6</v>
      </c>
      <c r="AP41" s="14">
        <v>3.7</v>
      </c>
      <c r="AQ41" s="14">
        <v>2.2999999999999998</v>
      </c>
      <c r="AR41" t="s">
        <v>123</v>
      </c>
      <c r="AS41" s="14">
        <v>0</v>
      </c>
      <c r="AT41" s="14">
        <v>0</v>
      </c>
      <c r="AU41" t="s">
        <v>111</v>
      </c>
      <c r="AV41" s="4" t="s">
        <v>123</v>
      </c>
      <c r="AW41" s="14">
        <v>0</v>
      </c>
      <c r="AX41" s="14">
        <v>0</v>
      </c>
      <c r="AY41" s="14">
        <v>8</v>
      </c>
      <c r="AZ41" s="14">
        <v>2.5</v>
      </c>
      <c r="BB41" s="14">
        <v>1.6</v>
      </c>
      <c r="BC41" s="14">
        <v>2.4</v>
      </c>
      <c r="BD41" s="14">
        <v>0</v>
      </c>
    </row>
    <row r="42" spans="1:56" ht="16.5" thickTop="1" thickBot="1" x14ac:dyDescent="0.3">
      <c r="A42" s="4" t="s">
        <v>34</v>
      </c>
      <c r="B42" s="14">
        <v>19.7</v>
      </c>
      <c r="C42" s="5" t="s">
        <v>18</v>
      </c>
      <c r="D42" s="17">
        <v>19.7</v>
      </c>
      <c r="E42" t="s">
        <v>34</v>
      </c>
      <c r="H42" s="4" t="s">
        <v>18</v>
      </c>
      <c r="I42" s="10">
        <f>(N22*8)+(B15*(P42/1000))+(H21*(R42/100))+(H24*(T42/100))+(H25*U42/100)+(H26*(V42/100))+(H27*(W42/100))+(H28*(X42/100))+(H29*(Y42/100))+(G15*(AB42/100))+(H15*(AC42/100))+(N23*(AE42/100))+(N24*(AF42/100))+(N25*(AH42/100))+(N26*(AI42/100))+(N27*(AJ42/100))+(N28*(AK42/100))+(B25*AS42)+(B26*AT42)+(B24*AW42)+(B23*AX42)+(B27*(11.4*0.6))+(B21*AZ42)+(B22*AY42)+(B28*BB42)+(B29*BC42)+(R21*BD42)+(N12*AM42)+(N13*AN42)+(N14*AP42)+(N15*AO42)+(N16*AQ42)</f>
        <v>51.05</v>
      </c>
      <c r="J42" t="s">
        <v>16</v>
      </c>
      <c r="K42" s="10">
        <f>$B$7*B42</f>
        <v>55.720014357499934</v>
      </c>
      <c r="L42" s="11">
        <f t="shared" si="1"/>
        <v>-8.3812152802709221</v>
      </c>
      <c r="M42" s="10">
        <f t="shared" si="3"/>
        <v>55.720014357499934</v>
      </c>
      <c r="N42" s="11">
        <f t="shared" si="2"/>
        <v>-8.3812152802709221</v>
      </c>
      <c r="P42" s="14">
        <v>110</v>
      </c>
      <c r="Q42" t="s">
        <v>7</v>
      </c>
      <c r="R42" s="14">
        <v>32</v>
      </c>
      <c r="S42" t="s">
        <v>80</v>
      </c>
      <c r="T42" s="14">
        <v>53</v>
      </c>
      <c r="U42" s="14">
        <v>23.6</v>
      </c>
      <c r="V42" s="14">
        <v>40</v>
      </c>
      <c r="W42" s="14">
        <v>30</v>
      </c>
      <c r="X42" s="14">
        <v>30</v>
      </c>
      <c r="Y42" s="14">
        <v>30</v>
      </c>
      <c r="Z42" t="s">
        <v>80</v>
      </c>
      <c r="AA42" s="5" t="s">
        <v>18</v>
      </c>
      <c r="AB42" s="14">
        <v>30</v>
      </c>
      <c r="AC42" s="14">
        <v>24</v>
      </c>
      <c r="AD42" t="s">
        <v>80</v>
      </c>
      <c r="AE42" s="14">
        <f t="shared" si="4"/>
        <v>18</v>
      </c>
      <c r="AF42" s="19">
        <f t="shared" si="5"/>
        <v>24</v>
      </c>
      <c r="AH42" s="17">
        <f t="shared" si="6"/>
        <v>19.2</v>
      </c>
      <c r="AI42" s="17">
        <f t="shared" si="7"/>
        <v>12</v>
      </c>
      <c r="AJ42" s="14">
        <v>21</v>
      </c>
      <c r="AK42" s="17">
        <f t="shared" si="8"/>
        <v>12</v>
      </c>
      <c r="AL42" s="5" t="s">
        <v>18</v>
      </c>
      <c r="AM42" s="14">
        <v>0.17</v>
      </c>
      <c r="AN42" s="14">
        <v>0.21</v>
      </c>
      <c r="AO42" s="14">
        <v>0.21</v>
      </c>
      <c r="AP42" s="14">
        <v>0.24</v>
      </c>
      <c r="AQ42" s="14">
        <v>0.18</v>
      </c>
      <c r="AR42" t="s">
        <v>123</v>
      </c>
      <c r="AS42" s="14">
        <v>0</v>
      </c>
      <c r="AT42" s="14">
        <v>0</v>
      </c>
      <c r="AU42" t="s">
        <v>111</v>
      </c>
      <c r="AV42" s="4" t="s">
        <v>123</v>
      </c>
      <c r="AW42" s="14">
        <v>0</v>
      </c>
      <c r="AX42" s="14">
        <v>0</v>
      </c>
      <c r="AY42" s="14">
        <v>3.9</v>
      </c>
      <c r="AZ42" s="14">
        <v>0.7</v>
      </c>
      <c r="BB42" s="14">
        <v>0.1</v>
      </c>
      <c r="BC42" s="14">
        <v>0.22</v>
      </c>
      <c r="BD42" s="14">
        <v>0</v>
      </c>
    </row>
    <row r="43" spans="1:56" ht="16.5" thickTop="1" thickBot="1" x14ac:dyDescent="0.3">
      <c r="A43" s="4" t="s">
        <v>7</v>
      </c>
      <c r="B43" s="14">
        <v>13.3</v>
      </c>
      <c r="C43" s="5" t="s">
        <v>21</v>
      </c>
      <c r="D43" s="16">
        <v>26.2</v>
      </c>
      <c r="E43" t="s">
        <v>34</v>
      </c>
      <c r="H43" s="4" t="s">
        <v>21</v>
      </c>
      <c r="I43" s="10">
        <f>(B15*(P43/1000))+(H21*(R43/100))+(H24*(T43/100))+(H25*(U43/100))+(H26*(V43/100))+(H27*(W43/100))+(H28*(X43/100))+(H29*(Y43/100))+(G15*(AB43/100))+(H15*(AC43/100))+(N23*(AE43/100))+(N24*(AF43/100))+(N25*(AH43/100))+(N26*(AI43/100))+(N27*(AJ43/100))+(N28*(AK43/100))+(B25*AS43)+(B26*AT43)+(B24*AW43)+(B23*AX43)+(B27*(97.2*0.6))+(B21*AZ43)+(B22*AY43)+(B28*BB43)+(B29*BC43)+(R21*BD43)+(N12*AM43)+(N13*AN43)+(N14*AP43)+(N15*AO43)+(N16*AQ43)</f>
        <v>134.5</v>
      </c>
      <c r="J43" t="s">
        <v>16</v>
      </c>
      <c r="K43" s="10">
        <f>$B$6*B43</f>
        <v>53.2</v>
      </c>
      <c r="L43" s="11">
        <f t="shared" si="1"/>
        <v>152.81954887218046</v>
      </c>
      <c r="M43" s="10">
        <f t="shared" si="3"/>
        <v>74.104790668350176</v>
      </c>
      <c r="N43" s="11">
        <f t="shared" si="2"/>
        <v>81.499736774027951</v>
      </c>
      <c r="P43" s="14">
        <v>400</v>
      </c>
      <c r="Q43" t="s">
        <v>7</v>
      </c>
      <c r="R43" s="14">
        <v>99</v>
      </c>
      <c r="S43" t="s">
        <v>80</v>
      </c>
      <c r="T43" s="14">
        <v>50</v>
      </c>
      <c r="U43" s="14">
        <v>40</v>
      </c>
      <c r="V43" s="14">
        <v>80</v>
      </c>
      <c r="W43" s="14">
        <v>76</v>
      </c>
      <c r="X43" s="14">
        <v>50</v>
      </c>
      <c r="Y43" s="14">
        <v>48</v>
      </c>
      <c r="Z43" t="s">
        <v>80</v>
      </c>
      <c r="AA43" s="5" t="s">
        <v>21</v>
      </c>
      <c r="AB43" s="14">
        <v>75</v>
      </c>
      <c r="AC43" s="14">
        <v>70</v>
      </c>
      <c r="AD43" t="s">
        <v>80</v>
      </c>
      <c r="AE43" s="14">
        <f t="shared" si="4"/>
        <v>45</v>
      </c>
      <c r="AF43" s="19">
        <f t="shared" si="5"/>
        <v>60</v>
      </c>
      <c r="AH43" s="19">
        <f t="shared" si="6"/>
        <v>56</v>
      </c>
      <c r="AI43" s="19">
        <f t="shared" si="7"/>
        <v>35</v>
      </c>
      <c r="AJ43" s="14">
        <v>80</v>
      </c>
      <c r="AK43" s="19">
        <f t="shared" si="8"/>
        <v>35</v>
      </c>
      <c r="AL43" s="5" t="s">
        <v>21</v>
      </c>
      <c r="AM43" s="14">
        <v>0.71</v>
      </c>
      <c r="AN43" s="14">
        <v>0.74</v>
      </c>
      <c r="AO43" s="14">
        <v>0.69</v>
      </c>
      <c r="AP43" s="14">
        <v>1.5</v>
      </c>
      <c r="AQ43" s="14">
        <v>1.65</v>
      </c>
      <c r="AR43" t="s">
        <v>123</v>
      </c>
      <c r="AS43" s="14">
        <v>0</v>
      </c>
      <c r="AT43" s="14">
        <v>0</v>
      </c>
      <c r="AU43" t="s">
        <v>111</v>
      </c>
      <c r="AV43" s="4" t="s">
        <v>123</v>
      </c>
      <c r="AW43" s="14">
        <v>0</v>
      </c>
      <c r="AX43" s="14">
        <v>0</v>
      </c>
      <c r="AY43" s="14">
        <v>0.3</v>
      </c>
      <c r="AZ43" s="14">
        <v>3.5</v>
      </c>
      <c r="BB43" s="14">
        <v>0.4</v>
      </c>
      <c r="BC43" s="14">
        <v>0</v>
      </c>
      <c r="BD43" s="14">
        <v>0</v>
      </c>
    </row>
    <row r="44" spans="1:56" ht="16.5" thickTop="1" thickBot="1" x14ac:dyDescent="0.3">
      <c r="A44" s="4" t="s">
        <v>36</v>
      </c>
      <c r="B44" s="14">
        <v>11.8</v>
      </c>
      <c r="C44" s="5" t="s">
        <v>37</v>
      </c>
      <c r="D44" s="16">
        <v>11.8</v>
      </c>
      <c r="E44" t="s">
        <v>36</v>
      </c>
      <c r="H44" s="4" t="s">
        <v>37</v>
      </c>
      <c r="I44" s="10">
        <f>(B15*(P44/1000))+(H21*(R44/100))+(H24*(T44/100))+(H25*(U44/100))+(H26*(V44/100))+(H27*(W44/100))+(H28*(X44/100))+(H29*(Y44/100))+(G15*(AB44/100))+(H15*(AC44/100))+(N23*(AE44/100))+(N24*(AF44/100))+(N25*(AH44/100))+(N26*(AI44/100))+(N27*(AJ44/100))+(N28*(AK44/100))+(B25*AS44)+(B25*AS44)+(B26*AT44)+(B24*AW44)+(B23*AX44)+(B27*(11.9*0.6))+(B21*AZ44)+(B22*AY44)+(B28*BB44)+(B29*BC44)+(R21*BD44)+(N12*AM44)+(N13*AN44)+(N14*AP44)+(N15*AO44)+(N16*AQ44)</f>
        <v>48.25</v>
      </c>
      <c r="J44" t="s">
        <v>47</v>
      </c>
      <c r="K44" s="10">
        <f>$B$7*B44</f>
        <v>33.375440072005041</v>
      </c>
      <c r="L44" s="11">
        <f t="shared" si="1"/>
        <v>44.567382170554737</v>
      </c>
      <c r="M44" s="10">
        <f t="shared" si="3"/>
        <v>33.375440072005041</v>
      </c>
      <c r="N44" s="11">
        <f t="shared" si="2"/>
        <v>44.567382170554737</v>
      </c>
      <c r="P44" s="14">
        <v>250</v>
      </c>
      <c r="Q44" t="s">
        <v>38</v>
      </c>
      <c r="R44" s="14">
        <v>29</v>
      </c>
      <c r="S44" t="s">
        <v>81</v>
      </c>
      <c r="T44" s="14">
        <v>24.7</v>
      </c>
      <c r="U44" s="14">
        <v>8.8000000000000007</v>
      </c>
      <c r="V44" s="14">
        <v>17.399999999999999</v>
      </c>
      <c r="W44" s="14">
        <v>22</v>
      </c>
      <c r="X44" s="14">
        <v>28</v>
      </c>
      <c r="Y44" s="14">
        <v>22</v>
      </c>
      <c r="Z44" t="s">
        <v>81</v>
      </c>
      <c r="AA44" s="5" t="s">
        <v>37</v>
      </c>
      <c r="AB44" s="14">
        <v>23</v>
      </c>
      <c r="AC44" s="14">
        <v>13</v>
      </c>
      <c r="AD44" t="s">
        <v>81</v>
      </c>
      <c r="AE44" s="19">
        <f t="shared" si="4"/>
        <v>13.8</v>
      </c>
      <c r="AF44" s="17">
        <f t="shared" si="5"/>
        <v>18.400000000000002</v>
      </c>
      <c r="AH44" s="17">
        <f t="shared" si="6"/>
        <v>10.4</v>
      </c>
      <c r="AI44" s="17">
        <f t="shared" si="7"/>
        <v>6.5</v>
      </c>
      <c r="AJ44" s="14">
        <v>13</v>
      </c>
      <c r="AK44" s="17">
        <f t="shared" si="8"/>
        <v>6.5</v>
      </c>
      <c r="AL44" s="5" t="s">
        <v>37</v>
      </c>
      <c r="AM44" s="14">
        <v>0.13</v>
      </c>
      <c r="AN44" s="14">
        <v>0.46</v>
      </c>
      <c r="AO44" s="14">
        <v>0.51</v>
      </c>
      <c r="AP44" s="14">
        <v>0.56000000000000005</v>
      </c>
      <c r="AQ44" s="14">
        <v>1.35</v>
      </c>
      <c r="AR44" t="s">
        <v>124</v>
      </c>
      <c r="AS44" s="14">
        <v>10</v>
      </c>
      <c r="AT44" s="14">
        <v>0</v>
      </c>
      <c r="AU44" t="s">
        <v>113</v>
      </c>
      <c r="AV44" s="4" t="s">
        <v>124</v>
      </c>
      <c r="AW44" s="14">
        <v>0</v>
      </c>
      <c r="AX44" s="14">
        <v>1.2</v>
      </c>
      <c r="AY44" s="14">
        <v>0</v>
      </c>
      <c r="AZ44" s="14">
        <v>0</v>
      </c>
      <c r="BB44" s="14">
        <v>0</v>
      </c>
      <c r="BC44" s="14">
        <v>0</v>
      </c>
      <c r="BD44" s="14">
        <v>0</v>
      </c>
    </row>
    <row r="45" spans="1:56" ht="16.5" thickTop="1" thickBot="1" x14ac:dyDescent="0.3">
      <c r="A45" s="4" t="s">
        <v>7</v>
      </c>
      <c r="B45" s="14">
        <v>2</v>
      </c>
      <c r="C45" s="5" t="s">
        <v>12</v>
      </c>
      <c r="D45" s="16">
        <v>2</v>
      </c>
      <c r="E45" t="s">
        <v>34</v>
      </c>
      <c r="H45" s="4" t="s">
        <v>12</v>
      </c>
      <c r="I45" s="10">
        <f>(B15*(P45/1000))+(H21*(R45/100))+(H24*(T45/100))+(H25*(U45/100))+(H26*(V45/100))+(H27*(W45/100))+(H28*(X45/100))+(H29*(Y45/100))+(G15*(AB45/100))+(H15*(AC45/100))+(N23*(AE45/100))+(N24*(AF45/100))+(N25*(AH45/100))+(N26*(AI45/100))+(N27*(AJ45/100))+(N28*(AK45/100))+(B25*AS45)+(B26*AT45)+(B24*AW45)+(B23*AX45)+(B27*(1.2*0.6))+(B21*AZ45)+(B22*AY45)+(B28*BB45)+(B29*BC45)+(R21*BD45)+(N12*AM45)+(N13*AN45)+(N14*AP45)+(N15*AO45)+(N16*AQ45)</f>
        <v>16.82</v>
      </c>
      <c r="J45" t="s">
        <v>16</v>
      </c>
      <c r="K45" s="10">
        <f>$B$6*B45</f>
        <v>8</v>
      </c>
      <c r="L45" s="11">
        <f t="shared" si="1"/>
        <v>110.25</v>
      </c>
      <c r="M45" s="10">
        <f t="shared" si="3"/>
        <v>5.6568542494923797</v>
      </c>
      <c r="N45" s="11">
        <f t="shared" si="2"/>
        <v>197.33840148894325</v>
      </c>
      <c r="P45" s="14">
        <v>224</v>
      </c>
      <c r="Q45" t="s">
        <v>7</v>
      </c>
      <c r="R45" s="14">
        <v>11.3</v>
      </c>
      <c r="S45" t="s">
        <v>80</v>
      </c>
      <c r="T45" s="14">
        <v>1</v>
      </c>
      <c r="U45" s="14">
        <v>0.3</v>
      </c>
      <c r="V45" s="14">
        <v>2.1</v>
      </c>
      <c r="W45" s="14">
        <v>4</v>
      </c>
      <c r="X45" s="14">
        <v>0.8</v>
      </c>
      <c r="Y45" s="14">
        <v>1.1000000000000001</v>
      </c>
      <c r="Z45" t="s">
        <v>80</v>
      </c>
      <c r="AA45" s="5" t="s">
        <v>12</v>
      </c>
      <c r="AB45" s="14">
        <v>3</v>
      </c>
      <c r="AC45" s="14">
        <v>1.3</v>
      </c>
      <c r="AD45" t="s">
        <v>80</v>
      </c>
      <c r="AE45" s="14">
        <f t="shared" si="4"/>
        <v>1.7999999999999998</v>
      </c>
      <c r="AF45" s="17">
        <f t="shared" si="5"/>
        <v>2.4</v>
      </c>
      <c r="AH45" s="17">
        <f t="shared" si="6"/>
        <v>1.04</v>
      </c>
      <c r="AI45" s="17">
        <f t="shared" si="7"/>
        <v>0.65</v>
      </c>
      <c r="AJ45" s="14">
        <v>1.4</v>
      </c>
      <c r="AK45" s="17">
        <f t="shared" si="8"/>
        <v>0.65</v>
      </c>
      <c r="AL45" s="5" t="s">
        <v>12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t="s">
        <v>123</v>
      </c>
      <c r="AS45" s="14">
        <v>0</v>
      </c>
      <c r="AT45" s="14">
        <v>0</v>
      </c>
      <c r="AU45" t="s">
        <v>111</v>
      </c>
      <c r="AV45" s="4" t="s">
        <v>123</v>
      </c>
      <c r="AW45" s="14">
        <v>25</v>
      </c>
      <c r="AX45" s="14">
        <v>1</v>
      </c>
      <c r="AY45" s="14">
        <v>0</v>
      </c>
      <c r="AZ45" s="14">
        <v>0.1</v>
      </c>
      <c r="BB45" s="14">
        <v>0</v>
      </c>
      <c r="BC45" s="14">
        <v>0</v>
      </c>
      <c r="BD45" s="14">
        <v>0</v>
      </c>
    </row>
    <row r="46" spans="1:56" ht="16.5" thickTop="1" thickBot="1" x14ac:dyDescent="0.3">
      <c r="A46" s="4"/>
      <c r="C46" s="5"/>
      <c r="H46" s="4"/>
      <c r="I46" s="6"/>
      <c r="L46" s="11"/>
      <c r="M46" s="6"/>
      <c r="N46" s="11"/>
      <c r="AA46" s="5"/>
      <c r="AL46" s="5"/>
      <c r="AV46" s="4"/>
    </row>
    <row r="47" spans="1:56" ht="16.5" thickTop="1" thickBot="1" x14ac:dyDescent="0.3">
      <c r="A47" s="4" t="s">
        <v>38</v>
      </c>
      <c r="B47" s="14">
        <v>30</v>
      </c>
      <c r="C47" s="5" t="s">
        <v>4</v>
      </c>
      <c r="D47" s="16">
        <v>50</v>
      </c>
      <c r="E47" t="s">
        <v>36</v>
      </c>
      <c r="H47" s="4" t="s">
        <v>4</v>
      </c>
      <c r="I47" s="10">
        <f>(B15*((P47*0.3)/1000))+(H21*((R47*0.3/100)))+(H24*(T47/100))+(H25*(U47/100))+(H26*(V47/100))+(H27*(W47/100))+(H28*(X47/100))+(H29*(Y47/100))+(G15*(AB47/100))+(H15*(AC47/100))+(N23*(AE47/100))+(N24*(AF47/100))+(N25*(AH47/100))+(N26*(AI47/100))+(N27*(AJ47/100))+(N28*(AK47/100))+(B25*AS47*0.3)+(B26*AT47*0.3)+(B24*AW47*0.3)+(B23*AX47*0.3)+(B27*(231.6*0.6))+(B21*AZ47)+(B22*AY47)+(B28*BB47)+(B29*BC47)+(R21*BD47)+(N12*AM47)+(N13*AN47)+(N14*AP47)+(N15*AO47)+(N16*AQ47)</f>
        <v>226.5</v>
      </c>
      <c r="J47" t="s">
        <v>47</v>
      </c>
      <c r="K47" s="10">
        <f>$B$6*B47</f>
        <v>120</v>
      </c>
      <c r="L47" s="11">
        <f t="shared" si="1"/>
        <v>88.75</v>
      </c>
      <c r="M47" s="10">
        <f>$B$7*D47</f>
        <v>141.42135623730948</v>
      </c>
      <c r="N47" s="11">
        <f t="shared" si="2"/>
        <v>60.159685938753057</v>
      </c>
      <c r="P47" s="14">
        <v>13000</v>
      </c>
      <c r="Q47" t="s">
        <v>5</v>
      </c>
      <c r="R47" s="14">
        <v>642</v>
      </c>
      <c r="S47" t="s">
        <v>82</v>
      </c>
      <c r="T47" s="14">
        <v>21.7</v>
      </c>
      <c r="U47" s="14">
        <v>15.6</v>
      </c>
      <c r="V47" s="14">
        <v>10</v>
      </c>
      <c r="W47" s="14">
        <v>103</v>
      </c>
      <c r="X47" s="14">
        <v>10</v>
      </c>
      <c r="Y47" s="14">
        <v>8</v>
      </c>
      <c r="Z47" t="s">
        <v>81</v>
      </c>
      <c r="AA47" s="5" t="s">
        <v>4</v>
      </c>
      <c r="AB47" s="14">
        <v>8</v>
      </c>
      <c r="AC47" s="14">
        <v>36.799999999999997</v>
      </c>
      <c r="AD47" t="s">
        <v>81</v>
      </c>
      <c r="AE47" s="14">
        <f t="shared" si="4"/>
        <v>4.8</v>
      </c>
      <c r="AF47" s="17">
        <f t="shared" si="5"/>
        <v>6.4</v>
      </c>
      <c r="AH47" s="17">
        <f t="shared" si="6"/>
        <v>29.439999999999998</v>
      </c>
      <c r="AI47" s="17">
        <f t="shared" si="7"/>
        <v>18.399999999999999</v>
      </c>
      <c r="AJ47" s="14">
        <v>30</v>
      </c>
      <c r="AK47" s="17">
        <f t="shared" si="8"/>
        <v>18.399999999999999</v>
      </c>
      <c r="AL47" s="5" t="s">
        <v>4</v>
      </c>
      <c r="AM47" s="14">
        <v>0.1</v>
      </c>
      <c r="AN47" s="14">
        <v>196.7</v>
      </c>
      <c r="AO47" s="14">
        <v>97.4</v>
      </c>
      <c r="AP47" s="14">
        <v>152</v>
      </c>
      <c r="AQ47" s="14">
        <v>0.63</v>
      </c>
      <c r="AR47" t="s">
        <v>124</v>
      </c>
      <c r="AS47" s="14">
        <v>10000</v>
      </c>
      <c r="AT47" s="14">
        <v>167</v>
      </c>
      <c r="AU47" t="s">
        <v>112</v>
      </c>
      <c r="AV47" s="4" t="s">
        <v>125</v>
      </c>
      <c r="AW47" s="14">
        <v>0</v>
      </c>
      <c r="AX47" s="14">
        <v>220</v>
      </c>
      <c r="AY47" s="14">
        <v>0</v>
      </c>
      <c r="AZ47" s="19">
        <f>(40/12)/0.3</f>
        <v>11.111111111111112</v>
      </c>
      <c r="BB47" s="14">
        <v>0.9</v>
      </c>
      <c r="BC47" s="14">
        <v>0</v>
      </c>
      <c r="BD47" s="14">
        <v>0</v>
      </c>
    </row>
    <row r="48" spans="1:56" ht="16.5" thickTop="1" thickBot="1" x14ac:dyDescent="0.3">
      <c r="A48" s="4" t="s">
        <v>38</v>
      </c>
      <c r="B48" s="14">
        <v>0.7</v>
      </c>
      <c r="C48" s="5" t="s">
        <v>6</v>
      </c>
      <c r="D48" s="16">
        <v>0.45</v>
      </c>
      <c r="E48" t="s">
        <v>36</v>
      </c>
      <c r="H48" s="4" t="s">
        <v>6</v>
      </c>
      <c r="I48" s="10">
        <f>(B15*((P48/40)/1000))+(H21*((R48/40)/100))+(H24*(T48/100))+(H25*(U48/100))+(H26*(V48/100))+(H27*(W48/100))+(H28*(X48/100))+(H29*(Y48/100))+(G15*(AB48/100))+(H15*(AC48/100))+(N23*(AE48/100))+(N24*(AF48/100))+(N25*(AH48/100))+(N26*(AI48/100))+(N27*(AJ48/100))+(N28*(AK48/100))+(B25*AS48/40)+(B26*AT48/40)+(B24*AW48/40)+(B23*AX48/40)+(B27*(1.9*0.6))+(B21*AZ48)+(B22*AY48)+(B28*BB48)+(B29*BC48)+(R21*BD48)+(N12*AM48)+(N13*AN48)+(N14*AP48)+(N15*AO48)+(N16*AQ48)</f>
        <v>1.55</v>
      </c>
      <c r="J48" t="s">
        <v>47</v>
      </c>
      <c r="K48" s="10">
        <f>$B$6*B48</f>
        <v>2.8</v>
      </c>
      <c r="L48" s="11">
        <f t="shared" si="1"/>
        <v>-44.642857142857139</v>
      </c>
      <c r="M48" s="10">
        <f>$B$6*D48</f>
        <v>1.8</v>
      </c>
      <c r="N48" s="11">
        <f t="shared" si="2"/>
        <v>-13.888888888888886</v>
      </c>
      <c r="P48" s="14">
        <v>800</v>
      </c>
      <c r="Q48" t="s">
        <v>5</v>
      </c>
      <c r="R48" s="14">
        <v>146</v>
      </c>
      <c r="S48" t="s">
        <v>82</v>
      </c>
      <c r="T48" s="14">
        <v>10.199999999999999</v>
      </c>
      <c r="U48" s="14">
        <v>6.1</v>
      </c>
      <c r="V48" s="14">
        <v>18</v>
      </c>
      <c r="W48" s="14">
        <v>15</v>
      </c>
      <c r="X48" s="14">
        <v>10</v>
      </c>
      <c r="Y48" s="14">
        <v>4.5</v>
      </c>
      <c r="Z48" t="s">
        <v>81</v>
      </c>
      <c r="AA48" s="5" t="s">
        <v>6</v>
      </c>
      <c r="AB48" s="14">
        <v>0.3</v>
      </c>
      <c r="AC48" s="14">
        <v>0.7</v>
      </c>
      <c r="AD48" t="s">
        <v>81</v>
      </c>
      <c r="AE48" s="17">
        <f t="shared" si="4"/>
        <v>0.18</v>
      </c>
      <c r="AF48" s="17">
        <f t="shared" si="5"/>
        <v>0.24</v>
      </c>
      <c r="AH48" s="17">
        <f t="shared" si="6"/>
        <v>0.55999999999999994</v>
      </c>
      <c r="AI48" s="17">
        <f t="shared" si="7"/>
        <v>0.35</v>
      </c>
      <c r="AJ48" s="14">
        <v>0.5</v>
      </c>
      <c r="AK48" s="17">
        <f t="shared" si="8"/>
        <v>0.35</v>
      </c>
      <c r="AL48" s="5" t="s">
        <v>6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t="s">
        <v>124</v>
      </c>
      <c r="AS48" s="14">
        <v>5000</v>
      </c>
      <c r="AT48" s="14">
        <v>80</v>
      </c>
      <c r="AU48" t="s">
        <v>112</v>
      </c>
      <c r="AV48" s="4" t="s">
        <v>125</v>
      </c>
      <c r="AW48" s="14">
        <v>0</v>
      </c>
      <c r="AX48" s="14">
        <v>22</v>
      </c>
      <c r="AY48" s="14">
        <v>0</v>
      </c>
      <c r="AZ48" s="14">
        <v>0</v>
      </c>
      <c r="BB48" s="14">
        <v>0</v>
      </c>
      <c r="BC48" s="14">
        <v>0</v>
      </c>
      <c r="BD48" s="14">
        <v>0</v>
      </c>
    </row>
    <row r="49" spans="1:56" ht="16.5" thickTop="1" thickBot="1" x14ac:dyDescent="0.3">
      <c r="A49" s="4" t="s">
        <v>7</v>
      </c>
      <c r="B49" s="14">
        <v>3</v>
      </c>
      <c r="C49" s="5" t="s">
        <v>22</v>
      </c>
      <c r="D49" s="16">
        <v>1</v>
      </c>
      <c r="E49" t="s">
        <v>34</v>
      </c>
      <c r="H49" s="4" t="s">
        <v>22</v>
      </c>
      <c r="I49" s="10">
        <f>(B15*(P49/1000))+(H21*(R49/100))+(H24*(T49/100))+(H25*(U49/100))+(H26*(V49/100))+(H27*(W49/100))+(H28*(X49/100))+(H29*(Y49/100))+(G15*(AB49/100))+(H15*(AC49/100))+(N23*(AE49/100))+(N24*(AF49/100))+(N25*(AH49/100))+(N26*(AI49/100))+(N27*(AJ49/100))+(N28*(AK49/100))+(B25*AS49)+(B26*AT49)+(B27*(1.6*0.6))+(B21*AZ49)+(B22*AY49)+(B28*BB49)+(B29*BC49)+(R21*BD49)+(N12*AM49)+(N13*AN49)+(N14*AP49)+(N15*AO49)+(N16*AQ49)</f>
        <v>28.1</v>
      </c>
      <c r="J49" t="s">
        <v>16</v>
      </c>
      <c r="K49" s="10">
        <f>$B$6*B49</f>
        <v>12</v>
      </c>
      <c r="L49" s="11">
        <f t="shared" si="1"/>
        <v>134.16666666666669</v>
      </c>
      <c r="M49" s="10">
        <f>$B$6*D49</f>
        <v>4</v>
      </c>
      <c r="N49" s="11">
        <f t="shared" si="2"/>
        <v>602.5</v>
      </c>
      <c r="P49" s="14">
        <v>500</v>
      </c>
      <c r="Q49" t="s">
        <v>7</v>
      </c>
      <c r="R49" s="14">
        <v>1.4</v>
      </c>
      <c r="S49" t="s">
        <v>80</v>
      </c>
      <c r="T49" s="14">
        <v>1.6</v>
      </c>
      <c r="U49" s="14">
        <v>0.9</v>
      </c>
      <c r="V49" s="14">
        <v>2</v>
      </c>
      <c r="W49" s="14">
        <v>1.6</v>
      </c>
      <c r="X49" s="14">
        <v>1.5</v>
      </c>
      <c r="Y49" s="14">
        <v>0.9</v>
      </c>
      <c r="Z49" t="s">
        <v>80</v>
      </c>
      <c r="AA49" s="5" t="s">
        <v>22</v>
      </c>
      <c r="AB49" s="14">
        <v>0.4</v>
      </c>
      <c r="AC49" s="14">
        <v>0.7</v>
      </c>
      <c r="AD49" t="s">
        <v>80</v>
      </c>
      <c r="AE49" s="17">
        <f t="shared" si="4"/>
        <v>0.24</v>
      </c>
      <c r="AF49" s="17">
        <f t="shared" si="5"/>
        <v>0.32</v>
      </c>
      <c r="AH49" s="17">
        <f t="shared" si="6"/>
        <v>0.55999999999999994</v>
      </c>
      <c r="AI49" s="17">
        <f t="shared" si="7"/>
        <v>0.35</v>
      </c>
      <c r="AJ49" s="14">
        <v>0.7</v>
      </c>
      <c r="AK49" s="17">
        <f t="shared" si="8"/>
        <v>0.35</v>
      </c>
      <c r="AL49" s="5" t="s">
        <v>22</v>
      </c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t="s">
        <v>123</v>
      </c>
      <c r="AS49" s="14">
        <v>30</v>
      </c>
      <c r="AT49" s="14">
        <v>2</v>
      </c>
      <c r="AU49" t="s">
        <v>111</v>
      </c>
      <c r="AV49" s="4" t="s">
        <v>123</v>
      </c>
      <c r="AW49" s="14">
        <v>0</v>
      </c>
      <c r="AX49" s="14">
        <v>2.4</v>
      </c>
      <c r="AY49" s="14">
        <v>0</v>
      </c>
      <c r="AZ49" s="14">
        <v>0.2</v>
      </c>
      <c r="BB49" s="14">
        <v>0</v>
      </c>
      <c r="BC49" s="14">
        <v>0</v>
      </c>
      <c r="BD49" s="14">
        <v>0</v>
      </c>
    </row>
    <row r="50" spans="1:56" ht="16.5" thickTop="1" thickBot="1" x14ac:dyDescent="0.3">
      <c r="A50" s="4"/>
      <c r="C50" s="5"/>
      <c r="H50" s="4"/>
      <c r="I50" s="6"/>
      <c r="L50" s="11"/>
      <c r="M50" s="6"/>
      <c r="N50" s="11"/>
      <c r="AA50" s="5"/>
      <c r="AL50" s="5"/>
      <c r="AV50" s="4"/>
    </row>
    <row r="51" spans="1:56" ht="16.5" thickTop="1" thickBot="1" x14ac:dyDescent="0.3">
      <c r="A51" s="4" t="s">
        <v>38</v>
      </c>
      <c r="B51" s="14">
        <v>20</v>
      </c>
      <c r="C51" s="5" t="s">
        <v>40</v>
      </c>
      <c r="D51" s="16">
        <v>74</v>
      </c>
      <c r="E51" t="s">
        <v>36</v>
      </c>
      <c r="H51" s="4" t="s">
        <v>40</v>
      </c>
      <c r="I51" s="10">
        <f>(B15*(P51/1000)*1000)+(H21*(R51/100))+(H24*(T51/100))+(H25*(U51/100))+(H26*(V51/100))+(H27*(W51/100))+(H28*(X51/100))+(H29*(Y51/100))+(G15*(AB51/100))+(H15*(AC51/100))+(N23*(AE51/100))+(N24*(AF51/100))+(N25*(AH51/100))+(N26*(AI51/100))+(N27*(AJ51/100))+(N28*(AK51/100))+(B25*AS51)+(B26*AT51)+(B24*AW51)+(B23*AX51)+(B27*(100*0.6))+(B21*AZ51)+(B22*AY51)+(B28*BB51)+(B29*BC51)+(R21*BD51)+(N12*AM51)+(N13*AN51)+(N14*AP51)+(N15*AO51)+(N16*AQ51)</f>
        <v>545.5</v>
      </c>
      <c r="J51" t="s">
        <v>47</v>
      </c>
      <c r="K51" s="10">
        <f>$B$6*B51</f>
        <v>80</v>
      </c>
      <c r="L51" s="11">
        <f t="shared" si="1"/>
        <v>581.875</v>
      </c>
      <c r="M51" s="10">
        <f>$B$7*D51</f>
        <v>209.30360723121805</v>
      </c>
      <c r="N51" s="11">
        <f t="shared" si="2"/>
        <v>160.62618184950117</v>
      </c>
      <c r="P51" s="14">
        <v>3.1</v>
      </c>
      <c r="Q51" t="s">
        <v>7</v>
      </c>
      <c r="R51" s="14">
        <v>172</v>
      </c>
      <c r="S51" t="s">
        <v>81</v>
      </c>
      <c r="T51" s="14">
        <v>130</v>
      </c>
      <c r="U51" s="14">
        <v>70</v>
      </c>
      <c r="V51" s="14">
        <v>10</v>
      </c>
      <c r="W51" s="14">
        <v>70</v>
      </c>
      <c r="X51" s="14">
        <v>70</v>
      </c>
      <c r="Y51" s="14">
        <v>70</v>
      </c>
      <c r="Z51" t="s">
        <v>81</v>
      </c>
      <c r="AA51" s="5" t="s">
        <v>40</v>
      </c>
      <c r="AB51" s="14">
        <v>250</v>
      </c>
      <c r="AC51" s="14">
        <v>80</v>
      </c>
      <c r="AD51" t="s">
        <v>81</v>
      </c>
      <c r="AE51" s="14">
        <f t="shared" si="4"/>
        <v>150</v>
      </c>
      <c r="AF51" s="19">
        <f t="shared" si="5"/>
        <v>200</v>
      </c>
      <c r="AH51" s="19">
        <f t="shared" si="6"/>
        <v>64</v>
      </c>
      <c r="AI51" s="19">
        <f t="shared" si="7"/>
        <v>40</v>
      </c>
      <c r="AJ51" s="14">
        <v>120</v>
      </c>
      <c r="AK51" s="20">
        <f>AC51/100*50</f>
        <v>40</v>
      </c>
      <c r="AL51" s="5" t="s">
        <v>40</v>
      </c>
      <c r="AM51" s="14">
        <v>5.3</v>
      </c>
      <c r="AN51" s="14">
        <v>2.4</v>
      </c>
      <c r="AO51" s="14">
        <v>2</v>
      </c>
      <c r="AP51" s="14">
        <v>3.3</v>
      </c>
      <c r="AQ51" s="14">
        <v>3.6</v>
      </c>
      <c r="AR51" t="s">
        <v>124</v>
      </c>
      <c r="AS51" s="14">
        <v>0</v>
      </c>
      <c r="AT51" s="14">
        <v>0</v>
      </c>
      <c r="AU51" t="s">
        <v>113</v>
      </c>
      <c r="AV51" s="4" t="s">
        <v>124</v>
      </c>
      <c r="AW51" s="14">
        <v>0</v>
      </c>
      <c r="AX51" s="14">
        <v>400</v>
      </c>
      <c r="AY51" s="14">
        <v>0</v>
      </c>
      <c r="AZ51" s="14">
        <v>30</v>
      </c>
      <c r="BB51" s="14">
        <v>0</v>
      </c>
      <c r="BC51" s="14">
        <v>0</v>
      </c>
      <c r="BD51" s="14">
        <v>0</v>
      </c>
    </row>
    <row r="52" spans="1:56" ht="16.5" thickTop="1" thickBot="1" x14ac:dyDescent="0.3">
      <c r="A52" s="4" t="s">
        <v>36</v>
      </c>
      <c r="B52" s="14">
        <v>171</v>
      </c>
      <c r="C52" s="5" t="s">
        <v>41</v>
      </c>
      <c r="D52" s="16">
        <v>171</v>
      </c>
      <c r="E52" t="s">
        <v>36</v>
      </c>
      <c r="H52" s="4" t="s">
        <v>41</v>
      </c>
      <c r="I52" s="10">
        <f>(B15*(P52/1000)*1000)+(H21*(R52/100))+(H24*(T52/100))+(H25*(U52/100))+(H26*(V52/100))+(H27*(W52/100))+(H28*(X52/100))+(H29*(Y52/100))+(G15*(AB52/100))+(H15*(AC52/100))+(N23*(AE52/100))+(N24*(AF52/100))+(N25*(AH52/100))+(N26*(AI52/100))+(N27*(AJ52/100))+(N28*(AK52/100))+(B25*AS52)+(B26*AT52)+(B24*AW52)+(B23*AX52)+(B27*(330*0.6))+(B21*AZ52)+(B22*AY52)+(B28*BB52)+(B29*BC52)+(R21*BD52)+(N12*AM52)+(N13*AN52)+(N14*AP52)+(N15*AO52)+(N16*AQ52)</f>
        <v>399.5</v>
      </c>
      <c r="J52" t="s">
        <v>47</v>
      </c>
      <c r="K52" s="10">
        <f t="shared" ref="K52:K56" si="9">$B$7*B52</f>
        <v>483.66103833159849</v>
      </c>
      <c r="L52" s="11">
        <f t="shared" si="1"/>
        <v>-17.400830677185454</v>
      </c>
      <c r="M52" s="10">
        <f t="shared" ref="M52:M56" si="10">$B$7*D52</f>
        <v>483.66103833159849</v>
      </c>
      <c r="N52" s="11">
        <f t="shared" si="2"/>
        <v>-17.400830677185454</v>
      </c>
      <c r="P52" s="14">
        <v>2.9</v>
      </c>
      <c r="Q52" t="s">
        <v>7</v>
      </c>
      <c r="R52" s="14">
        <v>312</v>
      </c>
      <c r="S52" t="s">
        <v>81</v>
      </c>
      <c r="T52" s="14">
        <v>110</v>
      </c>
      <c r="U52" s="14">
        <v>60</v>
      </c>
      <c r="V52" s="14">
        <v>180</v>
      </c>
      <c r="W52" s="14">
        <v>70</v>
      </c>
      <c r="X52" s="14">
        <v>70</v>
      </c>
      <c r="Y52" s="14">
        <v>70</v>
      </c>
      <c r="Z52" t="s">
        <v>81</v>
      </c>
      <c r="AA52" s="5" t="s">
        <v>41</v>
      </c>
      <c r="AB52" s="14">
        <v>160</v>
      </c>
      <c r="AC52" s="14">
        <v>160</v>
      </c>
      <c r="AD52" t="s">
        <v>81</v>
      </c>
      <c r="AE52" s="14">
        <f t="shared" si="4"/>
        <v>96</v>
      </c>
      <c r="AF52" s="19">
        <f t="shared" si="5"/>
        <v>128</v>
      </c>
      <c r="AH52" s="19">
        <f t="shared" si="6"/>
        <v>128</v>
      </c>
      <c r="AI52" s="19">
        <f t="shared" si="7"/>
        <v>80</v>
      </c>
      <c r="AJ52" s="14">
        <v>270</v>
      </c>
      <c r="AK52" s="19">
        <f t="shared" si="8"/>
        <v>80</v>
      </c>
      <c r="AL52" s="5" t="s">
        <v>41</v>
      </c>
      <c r="AM52" s="14">
        <v>8.8000000000000007</v>
      </c>
      <c r="AN52" s="14">
        <v>26.7</v>
      </c>
      <c r="AO52" s="14">
        <v>24.6</v>
      </c>
      <c r="AP52" s="14">
        <v>26.9</v>
      </c>
      <c r="AQ52" s="14">
        <v>26</v>
      </c>
      <c r="AR52" t="s">
        <v>124</v>
      </c>
      <c r="AS52" s="14">
        <v>0</v>
      </c>
      <c r="AT52" s="14">
        <v>0</v>
      </c>
      <c r="AU52" t="s">
        <v>113</v>
      </c>
      <c r="AV52" s="4" t="s">
        <v>124</v>
      </c>
      <c r="AW52" s="14">
        <v>0</v>
      </c>
      <c r="AX52" s="14">
        <v>500</v>
      </c>
      <c r="AY52" s="14">
        <v>0</v>
      </c>
      <c r="AZ52" s="14">
        <v>7</v>
      </c>
      <c r="BB52" s="14">
        <v>0</v>
      </c>
      <c r="BC52" s="14">
        <v>0</v>
      </c>
      <c r="BD52" s="14">
        <v>0</v>
      </c>
    </row>
    <row r="53" spans="1:56" ht="16.5" thickTop="1" thickBot="1" x14ac:dyDescent="0.3">
      <c r="A53" s="4" t="s">
        <v>36</v>
      </c>
      <c r="B53" s="14">
        <v>570</v>
      </c>
      <c r="C53" s="5" t="s">
        <v>42</v>
      </c>
      <c r="D53" s="16">
        <v>570</v>
      </c>
      <c r="E53" t="s">
        <v>36</v>
      </c>
      <c r="H53" s="4" t="s">
        <v>42</v>
      </c>
      <c r="I53" s="10">
        <f>(B15*(P53/1000)*1000)+(H21*(R53/1000)*1000)+(H24*(T53/100))+(H25*(U53/100))+(H26*(V53/100))+(H27*(W53/100))+(H28*(X53/100))+(H29*(Y53/100))+(G15*(AB53/100))+(H15*(AC53/100))+(N23*(AE53/100))+(N24*(AF53/100))+(N25*(AH53/100))+(N26*(AI53/100))+(N27*(AJ53/100))+(N28*(AK53/100))+(B25*AS53)+(B25*AS53)+(B26*AT53)+(B24*AW53)+(B23*AX53)+(B27*(50*0.6))+(B21*AZ53)+(B22*AY53)+(B28*BB53)+(B29*BC53)+(R21*BD53)+(N12*AM53)+(N13*AN53)+(N14*AP53)+(N15*AO53)+(N16*AQ53)</f>
        <v>635.9</v>
      </c>
      <c r="J53" t="s">
        <v>47</v>
      </c>
      <c r="K53" s="10">
        <f t="shared" si="9"/>
        <v>1612.2034611053282</v>
      </c>
      <c r="L53" s="11">
        <f t="shared" si="1"/>
        <v>-60.55708753012933</v>
      </c>
      <c r="M53" s="10">
        <f t="shared" si="10"/>
        <v>1612.2034611053282</v>
      </c>
      <c r="N53" s="11">
        <f t="shared" si="2"/>
        <v>-60.55708753012933</v>
      </c>
      <c r="P53" s="14">
        <v>11.3</v>
      </c>
      <c r="Q53" t="s">
        <v>7</v>
      </c>
      <c r="R53" s="14">
        <v>5.6</v>
      </c>
      <c r="S53" t="s">
        <v>80</v>
      </c>
      <c r="T53" s="14">
        <v>12</v>
      </c>
      <c r="U53" s="14">
        <v>8</v>
      </c>
      <c r="V53" s="14">
        <v>5.9</v>
      </c>
      <c r="W53" s="14">
        <v>8.1999999999999993</v>
      </c>
      <c r="X53" s="14">
        <v>7.8</v>
      </c>
      <c r="Y53" s="14">
        <v>8</v>
      </c>
      <c r="Z53" t="s">
        <v>80</v>
      </c>
      <c r="AA53" s="5" t="s">
        <v>42</v>
      </c>
      <c r="AB53" s="14">
        <v>9.6</v>
      </c>
      <c r="AC53" s="14">
        <v>11.2</v>
      </c>
      <c r="AD53" t="s">
        <v>80</v>
      </c>
      <c r="AE53" s="17">
        <f t="shared" si="4"/>
        <v>5.76</v>
      </c>
      <c r="AF53" s="17">
        <f t="shared" si="5"/>
        <v>7.68</v>
      </c>
      <c r="AH53" s="17">
        <f t="shared" si="6"/>
        <v>8.9599999999999991</v>
      </c>
      <c r="AI53" s="17">
        <f t="shared" si="7"/>
        <v>5.6</v>
      </c>
      <c r="AJ53" s="14">
        <v>8.3000000000000007</v>
      </c>
      <c r="AK53" s="17">
        <f t="shared" si="8"/>
        <v>5.6</v>
      </c>
      <c r="AL53" s="5" t="s">
        <v>42</v>
      </c>
      <c r="AM53" s="14">
        <v>0.11</v>
      </c>
      <c r="AN53" s="14">
        <v>0.11</v>
      </c>
      <c r="AO53" s="14">
        <v>0.12</v>
      </c>
      <c r="AP53" s="14">
        <v>0.19</v>
      </c>
      <c r="AQ53" s="14">
        <v>0.11</v>
      </c>
      <c r="AR53" t="s">
        <v>123</v>
      </c>
      <c r="AS53" s="14">
        <v>10</v>
      </c>
      <c r="AT53" s="14">
        <v>0</v>
      </c>
      <c r="AU53" t="s">
        <v>111</v>
      </c>
      <c r="AV53" s="4" t="s">
        <v>123</v>
      </c>
      <c r="AW53" s="14">
        <v>0</v>
      </c>
      <c r="AX53" s="14">
        <v>0.9</v>
      </c>
      <c r="AY53" s="14">
        <v>0</v>
      </c>
      <c r="AZ53" s="14">
        <v>0.02</v>
      </c>
      <c r="BB53" s="14">
        <v>0</v>
      </c>
      <c r="BC53" s="14">
        <v>0</v>
      </c>
      <c r="BD53" s="14">
        <v>0</v>
      </c>
    </row>
    <row r="54" spans="1:56" ht="16.5" thickTop="1" thickBot="1" x14ac:dyDescent="0.3">
      <c r="A54" s="4" t="s">
        <v>36</v>
      </c>
      <c r="B54" s="14">
        <v>560</v>
      </c>
      <c r="C54" s="5" t="s">
        <v>43</v>
      </c>
      <c r="D54" s="16">
        <v>490</v>
      </c>
      <c r="E54" t="s">
        <v>36</v>
      </c>
      <c r="H54" s="4" t="s">
        <v>43</v>
      </c>
      <c r="I54" s="10">
        <f>(B15*(P54/1000))+(H21*(R54/100))+(H24*(T54/100))+(H25*(U54/100))+(H26*(V54/100))+(H27*(W54/100))+(H28*(X54/100))+(H29*(Y54/100))+(G15*(AB54/100))+(H15*(AC54/100))+(N23*(AE54/100))+(N24*(AF54/100))+(N25*(AH54/100))+(N26*(AI54/100))+(N27*(AJ54/100))+(N28*(AK54/100))+(B25*AS54)+(B26*AT54)+(B24*AW54)+(B23*AX54)+(B21*AZ54)+(B22*AY54)+(B28*BB54)+(B29*BC54)+(R21*BD54)+(N12*AM54)+(N13*AN54)+(N14*AP54)+(N15*AO54)+(N16*AQ54)</f>
        <v>1.0449999999999999</v>
      </c>
      <c r="J54" t="s">
        <v>16</v>
      </c>
      <c r="K54" s="10">
        <f>$B$7*B54/1000</f>
        <v>1.5839191898578664</v>
      </c>
      <c r="L54" s="11">
        <f t="shared" si="1"/>
        <v>-34.024411933933735</v>
      </c>
      <c r="M54" s="10">
        <f>$B$7*D54/1000</f>
        <v>1.3859292911256329</v>
      </c>
      <c r="N54" s="11">
        <f t="shared" si="2"/>
        <v>-24.599327924495682</v>
      </c>
      <c r="P54" s="14">
        <v>19</v>
      </c>
      <c r="Q54" t="s">
        <v>7</v>
      </c>
      <c r="R54" s="14">
        <v>1.17</v>
      </c>
      <c r="S54" t="s">
        <v>80</v>
      </c>
      <c r="T54" s="14"/>
      <c r="U54" s="14"/>
      <c r="V54" s="14"/>
      <c r="W54" s="14"/>
      <c r="X54" s="14"/>
      <c r="Y54" s="14"/>
      <c r="Z54" t="s">
        <v>80</v>
      </c>
      <c r="AA54" s="5" t="s">
        <v>43</v>
      </c>
      <c r="AB54" s="14">
        <v>0</v>
      </c>
      <c r="AC54" s="14">
        <v>0</v>
      </c>
      <c r="AD54" t="s">
        <v>80</v>
      </c>
      <c r="AE54" s="17">
        <f t="shared" si="4"/>
        <v>0</v>
      </c>
      <c r="AF54" s="17">
        <f t="shared" si="5"/>
        <v>0</v>
      </c>
      <c r="AH54" s="17">
        <f t="shared" si="6"/>
        <v>0</v>
      </c>
      <c r="AI54" s="17">
        <f t="shared" si="7"/>
        <v>0</v>
      </c>
      <c r="AJ54" s="14">
        <v>0</v>
      </c>
      <c r="AK54" s="17">
        <f t="shared" si="8"/>
        <v>0</v>
      </c>
      <c r="AL54" s="5" t="s">
        <v>43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  <c r="AR54" t="s">
        <v>123</v>
      </c>
      <c r="AS54" s="14">
        <v>0</v>
      </c>
      <c r="AT54" s="14">
        <v>0</v>
      </c>
      <c r="AU54" t="s">
        <v>111</v>
      </c>
      <c r="AV54" s="4" t="s">
        <v>123</v>
      </c>
      <c r="AW54" s="14">
        <v>0</v>
      </c>
      <c r="AX54" s="14">
        <v>0.76</v>
      </c>
      <c r="AY54" s="14">
        <v>0</v>
      </c>
      <c r="AZ54" s="14">
        <v>0</v>
      </c>
      <c r="BB54" s="14">
        <v>0</v>
      </c>
      <c r="BC54" s="14">
        <v>0</v>
      </c>
      <c r="BD54" s="14">
        <v>0</v>
      </c>
    </row>
    <row r="55" spans="1:56" ht="16.5" thickTop="1" thickBot="1" x14ac:dyDescent="0.3">
      <c r="A55" s="4" t="s">
        <v>36</v>
      </c>
      <c r="B55" s="14">
        <v>60</v>
      </c>
      <c r="C55" s="5" t="s">
        <v>44</v>
      </c>
      <c r="D55" s="16">
        <v>49</v>
      </c>
      <c r="E55" t="s">
        <v>36</v>
      </c>
      <c r="H55" s="4" t="s">
        <v>44</v>
      </c>
      <c r="I55" s="10">
        <f>(B15*(P55/1000)*1000)+(H21*(R55/100))+(H24*(T55/100))+(H25*(U55/100))+(H26*(V55/100))+(H27*(W55/100))+(H28*(X55/100))+(H29*(Y55/100))+(G15*(AB55/100))+(H15*(AC55/100))+(N23*(AE55/100))+(N24*(AF55/100))+(N25*(AH55/100))+(N26*(AI55/100))+(N27*(AJ55/100))+(N28*(AK55/100))+(B25*AS55)+(B26*AT55)+(B24*AW55)+(B23*AX56)+(B27*(120*0.6))+(B21*5*AZ55)+(B22*AY55)+(B28*BB55)+(B29*BC55)+(R21*BD55)+(N12*AM55)+(N13*AN55)+(N14*AP55)+(N15*AO55)+(N16*AQ55)</f>
        <v>926</v>
      </c>
      <c r="J55" t="s">
        <v>47</v>
      </c>
      <c r="K55" s="10">
        <f t="shared" si="9"/>
        <v>169.70562748477138</v>
      </c>
      <c r="L55" s="11">
        <f t="shared" si="1"/>
        <v>445.65073281561922</v>
      </c>
      <c r="M55" s="10">
        <f t="shared" si="10"/>
        <v>138.5929291125633</v>
      </c>
      <c r="N55" s="11">
        <f t="shared" si="2"/>
        <v>568.14375446810516</v>
      </c>
      <c r="P55" s="14">
        <v>6.2</v>
      </c>
      <c r="Q55" t="s">
        <v>7</v>
      </c>
      <c r="R55" s="14">
        <v>143</v>
      </c>
      <c r="S55" t="s">
        <v>81</v>
      </c>
      <c r="T55" s="14">
        <v>480</v>
      </c>
      <c r="U55" s="14">
        <v>310</v>
      </c>
      <c r="V55" s="14">
        <v>220</v>
      </c>
      <c r="W55" s="14">
        <v>220</v>
      </c>
      <c r="X55" s="14">
        <v>220</v>
      </c>
      <c r="Y55" s="14">
        <v>210</v>
      </c>
      <c r="Z55" t="s">
        <v>81</v>
      </c>
      <c r="AA55" s="5" t="s">
        <v>44</v>
      </c>
      <c r="AB55" s="14">
        <v>390</v>
      </c>
      <c r="AC55" s="14">
        <v>470</v>
      </c>
      <c r="AD55" t="s">
        <v>81</v>
      </c>
      <c r="AE55" s="14">
        <f t="shared" si="4"/>
        <v>234</v>
      </c>
      <c r="AF55" s="19">
        <f t="shared" si="5"/>
        <v>312</v>
      </c>
      <c r="AH55" s="19">
        <f t="shared" si="6"/>
        <v>376</v>
      </c>
      <c r="AI55" s="19">
        <f t="shared" si="7"/>
        <v>235</v>
      </c>
      <c r="AJ55" s="14">
        <v>280</v>
      </c>
      <c r="AK55" s="19">
        <f t="shared" si="8"/>
        <v>235</v>
      </c>
      <c r="AL55" s="5" t="s">
        <v>44</v>
      </c>
      <c r="AM55" s="14">
        <v>2.6</v>
      </c>
      <c r="AN55" s="14">
        <v>10</v>
      </c>
      <c r="AO55" s="14">
        <v>9.8000000000000007</v>
      </c>
      <c r="AP55" s="14">
        <v>8</v>
      </c>
      <c r="AQ55" s="14">
        <v>3.9</v>
      </c>
      <c r="AR55" t="s">
        <v>124</v>
      </c>
      <c r="AS55" s="14">
        <v>0</v>
      </c>
      <c r="AT55" s="14">
        <v>0</v>
      </c>
      <c r="AU55" t="s">
        <v>113</v>
      </c>
      <c r="AV55" s="4" t="s">
        <v>124</v>
      </c>
      <c r="AW55" s="14">
        <v>0</v>
      </c>
      <c r="AX55" s="14">
        <v>160</v>
      </c>
      <c r="AY55" s="14">
        <v>0</v>
      </c>
      <c r="AZ55" s="14">
        <v>0</v>
      </c>
      <c r="BB55" s="14">
        <v>0</v>
      </c>
      <c r="BC55" s="14">
        <v>0</v>
      </c>
      <c r="BD55" s="14">
        <v>0</v>
      </c>
    </row>
    <row r="56" spans="1:56" ht="16.5" thickTop="1" thickBot="1" x14ac:dyDescent="0.3">
      <c r="A56" s="4" t="s">
        <v>36</v>
      </c>
      <c r="B56" s="14">
        <v>1.1499999999999999</v>
      </c>
      <c r="C56" s="5" t="s">
        <v>45</v>
      </c>
      <c r="D56" s="16">
        <v>1.1499999999999999</v>
      </c>
      <c r="E56" t="s">
        <v>36</v>
      </c>
      <c r="H56" s="4" t="s">
        <v>45</v>
      </c>
      <c r="I56" s="10">
        <f>(B15*(P56/1000))+(H21*(R56/100))+(H24*(T56/100))+(H25*(U56/100))+(H26*(V56/100))+(H27*(W56/100))+(H28*(X56/100))+(H29*(Y56/100))+(G15*(AB56/100))+(H15*(AC56/100))+(N23*(AE56/100))+(N24*(AF56/100))+(N25*(AH56/100))+(N26*(AI56/100))+(N27*(AJ56/100))+(N28*(AK56/100))+(B25*AS56)+(B26*AT56)+(B24*AW57)+(B23*AX57)+(B27*(2.2*0.6))+(B21*AZ56)+(B22*AY56)+(B28*BB56)+(B29*BC56)+(R21*BD56)+(N12*AM56)+(N13*AN56)+(N14*AP56)+(N15*AO56)+(N16*AQ56)</f>
        <v>5.3500000000000005</v>
      </c>
      <c r="J56" t="s">
        <v>47</v>
      </c>
      <c r="K56" s="10">
        <f t="shared" si="9"/>
        <v>3.252691193458118</v>
      </c>
      <c r="L56" s="11">
        <f t="shared" si="1"/>
        <v>64.479186058610026</v>
      </c>
      <c r="M56" s="10">
        <f t="shared" si="10"/>
        <v>3.252691193458118</v>
      </c>
      <c r="N56" s="11">
        <f t="shared" si="2"/>
        <v>64.479186058610026</v>
      </c>
      <c r="P56" s="14">
        <v>70</v>
      </c>
      <c r="Q56" t="s">
        <v>38</v>
      </c>
      <c r="R56" s="14">
        <v>2.65</v>
      </c>
      <c r="S56" t="s">
        <v>81</v>
      </c>
      <c r="T56" s="14">
        <v>4.2</v>
      </c>
      <c r="U56" s="14">
        <v>3.3</v>
      </c>
      <c r="V56" s="14">
        <v>13</v>
      </c>
      <c r="W56" s="14">
        <v>2</v>
      </c>
      <c r="X56" s="14">
        <v>1.9</v>
      </c>
      <c r="Y56" s="14">
        <v>2</v>
      </c>
      <c r="Z56" t="s">
        <v>81</v>
      </c>
      <c r="AA56" s="5" t="s">
        <v>45</v>
      </c>
      <c r="AB56" s="14">
        <v>1</v>
      </c>
      <c r="AC56" s="14">
        <v>0.3</v>
      </c>
      <c r="AD56" t="s">
        <v>81</v>
      </c>
      <c r="AE56" s="14">
        <f t="shared" si="4"/>
        <v>0.6</v>
      </c>
      <c r="AF56" s="17">
        <f t="shared" si="5"/>
        <v>0.8</v>
      </c>
      <c r="AH56" s="17">
        <f t="shared" si="6"/>
        <v>0.24</v>
      </c>
      <c r="AI56" s="17">
        <f t="shared" si="7"/>
        <v>0.15</v>
      </c>
      <c r="AJ56" s="14">
        <v>1</v>
      </c>
      <c r="AK56" s="17">
        <f t="shared" si="8"/>
        <v>0.15</v>
      </c>
      <c r="AL56" s="5" t="s">
        <v>45</v>
      </c>
      <c r="AM56" s="14">
        <v>0.1</v>
      </c>
      <c r="AN56" s="14">
        <v>1.1000000000000001</v>
      </c>
      <c r="AO56" s="14">
        <v>0.21</v>
      </c>
      <c r="AP56" s="14">
        <v>0.4</v>
      </c>
      <c r="AQ56" s="14">
        <v>0.24</v>
      </c>
      <c r="AR56" t="s">
        <v>124</v>
      </c>
      <c r="AS56" s="14">
        <v>0</v>
      </c>
      <c r="AT56" s="14">
        <v>0</v>
      </c>
      <c r="AU56" t="s">
        <v>113</v>
      </c>
      <c r="AV56" s="4" t="s">
        <v>124</v>
      </c>
      <c r="AW56" s="14">
        <v>0</v>
      </c>
      <c r="AX56" s="14">
        <v>0.8</v>
      </c>
      <c r="AY56" s="14">
        <v>0</v>
      </c>
      <c r="AZ56" s="14">
        <v>0</v>
      </c>
      <c r="BB56" s="14">
        <v>0</v>
      </c>
      <c r="BC56" s="14">
        <v>0</v>
      </c>
      <c r="BD56" s="14">
        <v>0</v>
      </c>
    </row>
    <row r="57" spans="1:56" ht="16.5" thickTop="1" thickBot="1" x14ac:dyDescent="0.3">
      <c r="BC57" s="4" t="s">
        <v>132</v>
      </c>
      <c r="BD57" s="14">
        <v>0</v>
      </c>
    </row>
    <row r="58" spans="1:56" ht="16.5" thickTop="1" thickBot="1" x14ac:dyDescent="0.3">
      <c r="BC58" s="4" t="s">
        <v>133</v>
      </c>
      <c r="BD58" s="14">
        <v>0</v>
      </c>
    </row>
    <row r="59" spans="1:56" ht="15.75" thickTop="1" x14ac:dyDescent="0.25">
      <c r="H59" s="13" t="s">
        <v>73</v>
      </c>
      <c r="I59" s="3">
        <f>B31+G15+H15+N12+N13+N14+N15+N16+N21+N22+N23+N24+N25+N26+N27+N28+H21+H24+H25+H26+H27+H28+H29+B15+(B27*60)+(B28*15)+(B29*190)+(B23*5)+(B22*5)+B21+B24+B25+R21</f>
        <v>205</v>
      </c>
      <c r="J59" t="s">
        <v>15</v>
      </c>
      <c r="K59" s="3">
        <f>(I59/1000)/B6*100</f>
        <v>5.125</v>
      </c>
      <c r="L59" t="s">
        <v>74</v>
      </c>
    </row>
    <row r="60" spans="1:56" x14ac:dyDescent="0.25">
      <c r="H60" s="13" t="s">
        <v>114</v>
      </c>
      <c r="I60" s="10">
        <f>I35</f>
        <v>33.1</v>
      </c>
      <c r="J60" t="s">
        <v>15</v>
      </c>
      <c r="K60" s="3">
        <f>I60/I59*100</f>
        <v>16.146341463414636</v>
      </c>
      <c r="L60" t="s">
        <v>118</v>
      </c>
    </row>
    <row r="61" spans="1:56" x14ac:dyDescent="0.25">
      <c r="H61" s="13" t="s">
        <v>115</v>
      </c>
      <c r="I61" s="10">
        <f>I36</f>
        <v>33.35</v>
      </c>
      <c r="J61" t="s">
        <v>15</v>
      </c>
      <c r="K61" s="3">
        <f>I61/I59*100</f>
        <v>16.26829268292683</v>
      </c>
      <c r="L61" t="s">
        <v>118</v>
      </c>
    </row>
    <row r="62" spans="1:56" x14ac:dyDescent="0.25">
      <c r="H62" s="13" t="s">
        <v>116</v>
      </c>
      <c r="I62" s="10">
        <f>(B15/100*B17)+(B24/100*72.2)+(B22/100*1.6)+(B21/2)+(B28/100*4.3)+(B29/100*12.3)+(R21/100*BD57)+(N13/100*5.8)+(N15/100*3.4)+(N14/100*2.5)</f>
        <v>19.8</v>
      </c>
      <c r="J62" t="s">
        <v>15</v>
      </c>
      <c r="K62" s="3">
        <f>I62/I59*100</f>
        <v>9.6585365853658534</v>
      </c>
      <c r="L62" t="s">
        <v>118</v>
      </c>
    </row>
    <row r="63" spans="1:56" x14ac:dyDescent="0.25">
      <c r="H63" s="13" t="s">
        <v>117</v>
      </c>
      <c r="I63" s="3">
        <f>(B15/100*5)+(B22/100*11.9)+(B21/100*8)+(B22/100*27)+(B29/100*1.2)+(R21/100*BD58)</f>
        <v>2.75</v>
      </c>
      <c r="J63" t="s">
        <v>15</v>
      </c>
      <c r="K63" s="3">
        <f>I63/I59*100</f>
        <v>1.3414634146341464</v>
      </c>
      <c r="L63" t="s">
        <v>118</v>
      </c>
    </row>
  </sheetData>
  <conditionalFormatting sqref="N35:N56 L35:L56">
    <cfRule type="colorScale" priority="7">
      <colorScale>
        <cfvo type="num" val="-50"/>
        <cfvo type="num" val="50"/>
        <cfvo type="num" val="300"/>
        <color rgb="FFFF0000"/>
        <color rgb="FF00B050"/>
        <color rgb="FFFFFF00"/>
      </colorScale>
    </cfRule>
  </conditionalFormatting>
  <pageMargins left="0.7" right="0.7" top="0.75" bottom="0.75" header="0.3" footer="0.3"/>
  <pageSetup paperSize="9" orientation="portrait" horizontalDpi="4294967293" verticalDpi="0" r:id="rId1"/>
  <ignoredErrors>
    <ignoredError sqref="K38:L38 K43:L43 M38 M44 L35:L37 L39:L42 L44:L45 K44 L48:L49 L51:L56 K54 M54" formula="1"/>
    <ignoredError sqref="K60:K63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Ruoka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jakke Lehtonen</dc:creator>
  <cp:lastModifiedBy>Jakke Lehtonen</cp:lastModifiedBy>
  <dcterms:created xsi:type="dcterms:W3CDTF">2015-03-02T09:06:25Z</dcterms:created>
  <dcterms:modified xsi:type="dcterms:W3CDTF">2017-06-02T11:04:08Z</dcterms:modified>
</cp:coreProperties>
</file>